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Diane\Documents\a - POST OC RETIREMENT\e - FLS Hub\"/>
    </mc:Choice>
  </mc:AlternateContent>
  <xr:revisionPtr revIDLastSave="0" documentId="13_ncr:1_{190F0CC9-CD37-4C4F-A885-3CFD172AD0FB}" xr6:coauthVersionLast="47" xr6:coauthVersionMax="47" xr10:uidLastSave="{00000000-0000-0000-0000-000000000000}"/>
  <bookViews>
    <workbookView xWindow="-120" yWindow="-120" windowWidth="29040" windowHeight="15840" activeTab="6" xr2:uid="{00000000-000D-0000-FFFF-FFFF00000000}"/>
  </bookViews>
  <sheets>
    <sheet name="Methodology" sheetId="11" r:id="rId1"/>
    <sheet name="Definitions" sheetId="15" r:id="rId2"/>
    <sheet name="Instructions" sheetId="9" r:id="rId3"/>
    <sheet name="Num &amp; costs of fractures" sheetId="1" r:id="rId4"/>
    <sheet name=" Combined IP-OP FLS " sheetId="8" r:id="rId5"/>
    <sheet name="IP-only FLS " sheetId="14" r:id="rId6"/>
    <sheet name="Graphs to include" sheetId="12" r:id="rId7"/>
    <sheet name="References" sheetId="7" r:id="rId8"/>
  </sheets>
  <externalReferences>
    <externalReference r:id="rId9"/>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14" l="1"/>
  <c r="B3" i="14"/>
  <c r="C5" i="12" l="1"/>
  <c r="D5" i="12" s="1"/>
  <c r="E5" i="12" s="1"/>
  <c r="D4" i="12"/>
  <c r="E4" i="12" s="1"/>
  <c r="D3" i="12"/>
  <c r="E3" i="12" s="1"/>
  <c r="B12" i="14" l="1"/>
  <c r="C11" i="14"/>
  <c r="D11" i="14" s="1"/>
  <c r="D10" i="14"/>
  <c r="C11" i="8" l="1"/>
  <c r="D11" i="8" s="1"/>
  <c r="B12" i="8"/>
  <c r="D10" i="8" l="1"/>
  <c r="I20" i="1" l="1"/>
  <c r="I22" i="1" s="1"/>
  <c r="F20" i="1"/>
  <c r="F22" i="1" s="1"/>
  <c r="D20" i="1"/>
  <c r="D22" i="1" s="1"/>
  <c r="C23" i="1"/>
  <c r="C25" i="1" s="1"/>
  <c r="C21" i="1"/>
  <c r="C19" i="1"/>
  <c r="C18" i="1"/>
  <c r="C17" i="1"/>
  <c r="C16" i="1"/>
  <c r="C15" i="1"/>
  <c r="C14" i="1" l="1"/>
  <c r="C13" i="1"/>
  <c r="B20" i="1"/>
  <c r="B22" i="1" s="1"/>
  <c r="D3" i="1"/>
  <c r="B5" i="1"/>
  <c r="B4" i="1"/>
  <c r="B7" i="1"/>
  <c r="B6" i="1"/>
  <c r="D6" i="1" s="1"/>
  <c r="H25" i="1" s="1"/>
  <c r="E14" i="1" l="1"/>
  <c r="E18" i="1"/>
  <c r="E15" i="1"/>
  <c r="E19" i="1"/>
  <c r="E17" i="1"/>
  <c r="E23" i="1"/>
  <c r="E25" i="1" s="1"/>
  <c r="E16" i="1"/>
  <c r="E13" i="1"/>
  <c r="E21" i="1"/>
  <c r="D5" i="1"/>
  <c r="G15" i="1"/>
  <c r="G19" i="1"/>
  <c r="G14" i="1"/>
  <c r="G23" i="1"/>
  <c r="G25" i="1" s="1"/>
  <c r="G16" i="1"/>
  <c r="G13" i="1"/>
  <c r="G18" i="1"/>
  <c r="G21" i="1"/>
  <c r="G17" i="1"/>
  <c r="D7" i="1"/>
  <c r="J23" i="1"/>
  <c r="J25" i="1" s="1"/>
  <c r="J16" i="1"/>
  <c r="J13" i="1"/>
  <c r="J21" i="1"/>
  <c r="J17" i="1"/>
  <c r="J19" i="1"/>
  <c r="J14" i="1"/>
  <c r="J18" i="1"/>
  <c r="J15" i="1"/>
  <c r="C20" i="1"/>
  <c r="C22" i="1" s="1"/>
  <c r="B8" i="1"/>
  <c r="D4" i="1"/>
  <c r="B3" i="8" l="1"/>
  <c r="B2" i="8"/>
  <c r="B19" i="14"/>
  <c r="B20" i="14" s="1"/>
  <c r="B5" i="14"/>
  <c r="D8" i="1"/>
  <c r="B9" i="1"/>
  <c r="B5" i="8"/>
  <c r="G20" i="1"/>
  <c r="G22" i="1" s="1"/>
  <c r="E20" i="1"/>
  <c r="E22" i="1" s="1"/>
  <c r="K25" i="1"/>
  <c r="J20" i="1"/>
  <c r="J22" i="1" s="1"/>
  <c r="B7" i="12" l="1"/>
  <c r="B6" i="12"/>
  <c r="B22" i="14"/>
  <c r="B23" i="14" s="1"/>
  <c r="E13" i="14"/>
  <c r="F13" i="14" s="1"/>
  <c r="E10" i="14"/>
  <c r="F10" i="14" s="1"/>
  <c r="B6" i="14"/>
  <c r="K12" i="14"/>
  <c r="E12" i="14"/>
  <c r="F12" i="14" s="1"/>
  <c r="E13" i="8"/>
  <c r="E12" i="8"/>
  <c r="F12" i="8" s="1"/>
  <c r="M13" i="8" s="1"/>
  <c r="E10" i="8"/>
  <c r="K12" i="8"/>
  <c r="B6" i="8"/>
  <c r="E11" i="8" s="1"/>
  <c r="B19" i="8"/>
  <c r="B20" i="8" s="1"/>
  <c r="B22" i="8" s="1"/>
  <c r="B27" i="14" l="1"/>
  <c r="R16" i="14" s="1"/>
  <c r="Q16" i="14"/>
  <c r="B29" i="14"/>
  <c r="S16" i="14" s="1"/>
  <c r="L12" i="14"/>
  <c r="E11" i="14"/>
  <c r="F11" i="14" s="1"/>
  <c r="G10" i="14"/>
  <c r="K13" i="14"/>
  <c r="M13" i="14"/>
  <c r="G12" i="14"/>
  <c r="M16" i="14" s="1"/>
  <c r="G13" i="14"/>
  <c r="N16" i="14" s="1"/>
  <c r="N13" i="14"/>
  <c r="L12" i="8"/>
  <c r="F11" i="8"/>
  <c r="K16" i="14" l="1"/>
  <c r="G11" i="14"/>
  <c r="L16" i="14" s="1"/>
  <c r="L13" i="14"/>
  <c r="F15" i="14"/>
  <c r="G11" i="8"/>
  <c r="L16" i="8" s="1"/>
  <c r="L13" i="8"/>
  <c r="F13" i="8"/>
  <c r="F10" i="8"/>
  <c r="G12" i="8"/>
  <c r="M16" i="8" s="1"/>
  <c r="O13" i="14" l="1"/>
  <c r="C7" i="12"/>
  <c r="D7" i="12" s="1"/>
  <c r="E7" i="12" s="1"/>
  <c r="G16" i="14"/>
  <c r="K13" i="8"/>
  <c r="F15" i="8"/>
  <c r="G13" i="8"/>
  <c r="N16" i="8" s="1"/>
  <c r="N13" i="8"/>
  <c r="G10" i="8"/>
  <c r="B23" i="8"/>
  <c r="B27" i="8" s="1"/>
  <c r="S16" i="8" s="1"/>
  <c r="O13" i="8" l="1"/>
  <c r="C6" i="12"/>
  <c r="D6" i="12" s="1"/>
  <c r="E6" i="12" s="1"/>
  <c r="B31" i="14"/>
  <c r="T16" i="14" s="1"/>
  <c r="O16" i="14"/>
  <c r="B25" i="8"/>
  <c r="R16" i="8" s="1"/>
  <c r="Q16" i="8"/>
  <c r="G16" i="8"/>
  <c r="O16" i="8" s="1"/>
  <c r="K16" i="8"/>
  <c r="B29" i="8" l="1"/>
  <c r="T16"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tc={F8EB7C38-8202-4CD2-BE29-C7AC4ECAF885}</author>
    <author>Luanne Schenkels</author>
  </authors>
  <commentList>
    <comment ref="B1" authorId="0" shapeId="0" xr:uid="{F8EB7C38-8202-4CD2-BE29-C7AC4ECAF885}">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 think we have landed on the most reasonable number here</t>
        </r>
      </text>
    </comment>
    <comment ref="E10" authorId="1" shapeId="0" xr:uid="{803706F9-3DEA-40F1-83B7-6369019B223F}">
      <text>
        <r>
          <rPr>
            <sz val="9"/>
            <color indexed="81"/>
            <rFont val="Tahoma"/>
            <family val="2"/>
          </rPr>
          <t>You may choose to adjust these #s to get the number of FTEs desired</t>
        </r>
      </text>
    </comment>
    <comment ref="B12" authorId="1" shapeId="0" xr:uid="{422258F6-E1D6-4CC6-B491-3A08F516E24F}">
      <text>
        <r>
          <rPr>
            <sz val="9"/>
            <color indexed="81"/>
            <rFont val="Tahoma"/>
            <family val="2"/>
          </rPr>
          <t xml:space="preserve">You may choose to adjust these numbers to accurately reflect your local numbers
</t>
        </r>
      </text>
    </comment>
    <comment ref="B13" authorId="1" shapeId="0" xr:uid="{E8F34A34-4CD6-467A-BA58-1E469DF716B6}">
      <text>
        <r>
          <rPr>
            <sz val="9"/>
            <color indexed="81"/>
            <rFont val="Tahoma"/>
            <family val="2"/>
          </rPr>
          <t xml:space="preserve">You may choose to adjust these numbers to accurately reflect your local numbers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Luanne Schenkels</author>
  </authors>
  <commentList>
    <comment ref="E10" authorId="0" shapeId="0" xr:uid="{53B19EC0-EDEF-49D6-8B7D-A4AED8216B3F}">
      <text>
        <r>
          <rPr>
            <sz val="9"/>
            <color indexed="81"/>
            <rFont val="Tahoma"/>
            <family val="2"/>
          </rPr>
          <t>You may want to adjust these #s to get the number of FTEs desired</t>
        </r>
      </text>
    </comment>
    <comment ref="B12" authorId="0" shapeId="0" xr:uid="{A327E10C-A7EE-403D-BBE5-18C9088E4A48}">
      <text>
        <r>
          <rPr>
            <sz val="9"/>
            <color indexed="81"/>
            <rFont val="Tahoma"/>
            <family val="2"/>
          </rPr>
          <t xml:space="preserve">You may choose to adjust these numbers to accurately reflect your local numbers
</t>
        </r>
      </text>
    </comment>
    <comment ref="B13" authorId="0" shapeId="0" xr:uid="{955BF112-51CE-4465-838B-D8CBD7C17A96}">
      <text>
        <r>
          <rPr>
            <sz val="9"/>
            <color indexed="81"/>
            <rFont val="Tahoma"/>
            <family val="2"/>
          </rPr>
          <t xml:space="preserve">You may choose to adjust these numbers to accurately reflect your local numbers
</t>
        </r>
      </text>
    </comment>
  </commentList>
</comments>
</file>

<file path=xl/sharedStrings.xml><?xml version="1.0" encoding="utf-8"?>
<sst xmlns="http://schemas.openxmlformats.org/spreadsheetml/2006/main" count="193" uniqueCount="153">
  <si>
    <t>Home care</t>
  </si>
  <si>
    <t>TOTAL</t>
  </si>
  <si>
    <t>Outpatient physician services</t>
  </si>
  <si>
    <t>Subtotal</t>
  </si>
  <si>
    <t xml:space="preserve">Hip fracture: 
Avg cost per patient </t>
  </si>
  <si>
    <t xml:space="preserve">Wrist fracture: 
Avg cost per fracture </t>
  </si>
  <si>
    <t>Acute care</t>
  </si>
  <si>
    <t>Rehab adm</t>
  </si>
  <si>
    <t>Rehab/physio clinic</t>
  </si>
  <si>
    <t>Complex continuing care</t>
  </si>
  <si>
    <t>Long Term Care (LTC)</t>
  </si>
  <si>
    <t>Mobility devices</t>
  </si>
  <si>
    <t>Total direct med costs</t>
  </si>
  <si>
    <t>Shoulder fracture:
Avg cost per fracture</t>
  </si>
  <si>
    <t>Vertebral fracture:
Avg cost per fracture</t>
  </si>
  <si>
    <t>Total cost</t>
  </si>
  <si>
    <t xml:space="preserve">Avg total direct medical cost per patient </t>
  </si>
  <si>
    <t>TOTAL non-spine fragility fractures (hip, wrist, shoulder and pelvis) needing access to an FLS</t>
  </si>
  <si>
    <t>Hip fracture: 
Total cost to jurisdiction</t>
  </si>
  <si>
    <t>Wrist fracture: 
Total cost to jurisdiction</t>
  </si>
  <si>
    <t>Shoulder fracture: 
Total cost to jurisdiction</t>
  </si>
  <si>
    <t>Pelvis fracture:*
Total cost to jurisdiction</t>
  </si>
  <si>
    <t>Vertebral fracture:
Total cost to jurisdiction</t>
  </si>
  <si>
    <t>Total cost to jurisdiction (Total direct medical costs * number of hip fractures in jurisdiction per year)</t>
  </si>
  <si>
    <t>References</t>
  </si>
  <si>
    <t xml:space="preserve">Costs of fractures </t>
  </si>
  <si>
    <t>FTEs of coordinator needed for your FLS</t>
  </si>
  <si>
    <t>$</t>
  </si>
  <si>
    <t>Benefits percent</t>
  </si>
  <si>
    <t>Salary &amp; Benefits</t>
  </si>
  <si>
    <t>FTE percent</t>
  </si>
  <si>
    <t xml:space="preserve">Total annual costs for your FLS </t>
  </si>
  <si>
    <t>Costs over 8 years</t>
  </si>
  <si>
    <t>Annual salary of Admin assistant (0.2 FTE per 1 FTE)</t>
  </si>
  <si>
    <t>Total FLS costs for 1 yr</t>
  </si>
  <si>
    <t>Total FLS costs for 8 yrs</t>
  </si>
  <si>
    <t>Total number of fractures as per the cost and fracture worksheet seen annually</t>
  </si>
  <si>
    <t>Net cost avoidance over 8 years</t>
  </si>
  <si>
    <t>FTEs of administrative assistant needed for your FLS</t>
  </si>
  <si>
    <t>Approximate number of fractures seen over 8 yrs</t>
  </si>
  <si>
    <t>Costs</t>
  </si>
  <si>
    <t>Total annual costs of the FLS</t>
  </si>
  <si>
    <t>Savings</t>
  </si>
  <si>
    <t>Year 1:</t>
  </si>
  <si>
    <t>NA</t>
  </si>
  <si>
    <t>Over 8 years:</t>
  </si>
  <si>
    <t>Operating costs annually for 1 FTE coordinator</t>
  </si>
  <si>
    <r>
      <t xml:space="preserve">How many hip fractures reported from your jurisdiction's independent hip fracture database?      </t>
    </r>
    <r>
      <rPr>
        <sz val="10"/>
        <color theme="1"/>
        <rFont val="Calibri"/>
        <family val="2"/>
        <scheme val="minor"/>
      </rPr>
      <t>(as reported to CIHI)
(Avg total direct cost pp $61, 540 as per Hopkins, 2016)</t>
    </r>
  </si>
  <si>
    <t>Annual salary of FLS Coordinator</t>
  </si>
  <si>
    <t xml:space="preserve">Enter your local salaries and benefits percent. You may choose to manually enter the percentage of FTEs calculated above (B5 and B6) if desired </t>
  </si>
  <si>
    <t>Rounded approximate number of hip fractures averted over 8 yrs</t>
  </si>
  <si>
    <t>Projected acute care bed days freed up over 8 yrs</t>
  </si>
  <si>
    <t xml:space="preserve">Projected cost savings in hip fractures averted over 8 yrs </t>
  </si>
  <si>
    <t>McLellan AR, Wolowacz SE, Zimovetz EA, et al. Fracture liaison services for the evaluation and management of patients with osteoporotic fracture: A cost-effectiveness evaluation based on data collected over 8 years of service provision. Osteoporos Int. 2011;22(7):2083-2098. doi:10.1007/s00198-011-1534-0</t>
  </si>
  <si>
    <t>Total cost to jurisdiction based on hip fractures</t>
  </si>
  <si>
    <t>Source of Data</t>
  </si>
  <si>
    <t>Assumptions</t>
  </si>
  <si>
    <t>Limitations</t>
  </si>
  <si>
    <t xml:space="preserve"> Readily available Canadian fracture data is imperfect. The authors have taken care to be conservative in their projections. Even so, the results should be viewed as estimates.</t>
  </si>
  <si>
    <t>* FTEs required (FTE = Full time equivalent) assumes a 3i FLS allowing a 37.5 hour workweek and also assumes no replacement cost/no backfill</t>
  </si>
  <si>
    <t>Definitions</t>
  </si>
  <si>
    <r>
      <t>Total direct medical costs</t>
    </r>
    <r>
      <rPr>
        <vertAlign val="superscript"/>
        <sz val="11"/>
        <color theme="1"/>
        <rFont val="Calibri"/>
        <family val="2"/>
        <scheme val="minor"/>
      </rPr>
      <t>2</t>
    </r>
    <r>
      <rPr>
        <sz val="11"/>
        <color theme="1"/>
        <rFont val="Calibri"/>
        <family val="2"/>
        <scheme val="minor"/>
      </rPr>
      <t xml:space="preserve"> </t>
    </r>
  </si>
  <si>
    <t>This worksheet will allow the predicted calculation of fragility fractures for a specific jurisdiction based on documented hip fracture numbers for that jurisdiction.</t>
  </si>
  <si>
    <t>Step 1</t>
  </si>
  <si>
    <t>Hopkins RB, Burke N, Von Keyserlingk C, et al. The current economic burden of illness of osteoporosis in Canada. Osteoporos Int. 2016;27(10):3023-3032. doi:10.1007/s00198-016-3631-6</t>
  </si>
  <si>
    <t>Note</t>
  </si>
  <si>
    <t>Data from Hopkins is listed in cells (A12-K25)</t>
  </si>
  <si>
    <t>Step 2</t>
  </si>
  <si>
    <t>Step 3</t>
  </si>
  <si>
    <t>*Assumes Operating costs annually for 1 FTE coordinator</t>
  </si>
  <si>
    <t>Step 4</t>
  </si>
  <si>
    <t>Step 5</t>
  </si>
  <si>
    <t>FTE</t>
  </si>
  <si>
    <t>Full-time equivalent (37.5 hr workweek)</t>
  </si>
  <si>
    <r>
      <t>Approximate number of hip fractures averted over 8 yrs</t>
    </r>
    <r>
      <rPr>
        <vertAlign val="superscript"/>
        <sz val="12"/>
        <color theme="1"/>
        <rFont val="Calibri"/>
        <family val="2"/>
        <scheme val="minor"/>
      </rPr>
      <t>5</t>
    </r>
  </si>
  <si>
    <r>
      <t xml:space="preserve">Rounded approximate number of hip fractures averted over 8 yrs </t>
    </r>
    <r>
      <rPr>
        <vertAlign val="superscript"/>
        <sz val="12"/>
        <color theme="1"/>
        <rFont val="Calibri"/>
        <family val="2"/>
        <scheme val="minor"/>
      </rPr>
      <t>6</t>
    </r>
  </si>
  <si>
    <t>Total costs</t>
  </si>
  <si>
    <t>Costs of FLS</t>
  </si>
  <si>
    <t>%</t>
  </si>
  <si>
    <t>Currency</t>
  </si>
  <si>
    <t>Finland</t>
  </si>
  <si>
    <t>The total direct costs for secondary fracture prevention with  FLS in the study year (2015) were 1.3% of the annual total costs of all low-energy fractures in the study area.</t>
  </si>
  <si>
    <t>Euros</t>
  </si>
  <si>
    <t>United Kingdom</t>
  </si>
  <si>
    <t>The total cost of universal access (UK) to FLS were 0.6 % of the estimated annual cost of hip fracture care alone.</t>
  </si>
  <si>
    <t>GBP</t>
  </si>
  <si>
    <t>BC, Canada</t>
  </si>
  <si>
    <t>The direct FLS salary costs (for example requiring 32 FTEs FLS RNs)for province-wide FLS were 1% compared to cost for all major osteoporotic fractures combined (2019).</t>
  </si>
  <si>
    <t>Cdn</t>
  </si>
  <si>
    <t>Jaeger, 2021 (unpublished)</t>
  </si>
  <si>
    <t>If desired, you may view 3 graphs (2 published data and 1 unpublished data) under the tab "Graphs to include"</t>
  </si>
  <si>
    <r>
      <t>Lüthje, 2020</t>
    </r>
    <r>
      <rPr>
        <vertAlign val="superscript"/>
        <sz val="12"/>
        <color theme="1"/>
        <rFont val="Times New Roman"/>
        <family val="1"/>
      </rPr>
      <t>7</t>
    </r>
  </si>
  <si>
    <r>
      <t>Cooper, 2011</t>
    </r>
    <r>
      <rPr>
        <vertAlign val="superscript"/>
        <sz val="12"/>
        <color rgb="FF000000"/>
        <rFont val="Times New Roman"/>
        <family val="1"/>
      </rPr>
      <t>8</t>
    </r>
  </si>
  <si>
    <t>Lüthje P, Nurmi-Lüthje I, Tavast N, Villikka A, Kataja M. Evaluation of minimal fracture liaison service resource: costs and survival in secondary fracture prevention—a prospective one-year study in South-Finland. Aging Clin Exp Res. 2021;(0123456789). doi:10.1007/s40520-021-01826-x</t>
  </si>
  <si>
    <t>Cooper C, Mitchell P, Kanis JA. Breaking the fragility fracture cycle. Osteoporos Int. 2011;22(7):2049-2050. doi:10.1007/s00198-011-1643-9</t>
  </si>
  <si>
    <t>Beaupre LA, Lier D, Smith C, et al. A 3i hip fracture liaison service with nurse and physician co-management is cost-effective when implemented as a standard clinical program. Arch Osteoporos. 2020;15(1). doi:10.1007/s11657-020-00781-w</t>
  </si>
  <si>
    <r>
      <t xml:space="preserve">Bogoch ER, Elliot-Gibson V, Beaton D, Sale J, Josse RG. Fracture prevention in the orthopaedic environment: Outcomes of a coordinator-based fracture liaison service. </t>
    </r>
    <r>
      <rPr>
        <i/>
        <sz val="11"/>
        <color theme="1"/>
        <rFont val="Arial"/>
        <family val="2"/>
      </rPr>
      <t>J Bone Jt Surg - Am Vol</t>
    </r>
    <r>
      <rPr>
        <sz val="11"/>
        <color theme="1"/>
        <rFont val="Arial"/>
        <family val="2"/>
      </rPr>
      <t>. 2017;99(10):820-831. doi:10.2106/JBJS.16.01042</t>
    </r>
  </si>
  <si>
    <r>
      <t xml:space="preserve">Hopkins RB, Burke N, Von Keyserlingk C, et al. The current economic burden of illness of osteoporosis in Canada. </t>
    </r>
    <r>
      <rPr>
        <i/>
        <sz val="11"/>
        <color theme="1"/>
        <rFont val="Arial"/>
        <family val="2"/>
      </rPr>
      <t>Osteoporos Int</t>
    </r>
    <r>
      <rPr>
        <sz val="11"/>
        <color theme="1"/>
        <rFont val="Arial"/>
        <family val="2"/>
      </rPr>
      <t>. 2016;27(10):3023-3032. doi:10.1007/s00198-016-3631-6</t>
    </r>
  </si>
  <si>
    <r>
      <t xml:space="preserve">Jean S, Gamache P, Bessette L, et al. The Burden of Osteoporotic Fracture: Epidemiology and Health-care Utilization in Older Adults , 1997-2010. </t>
    </r>
    <r>
      <rPr>
        <i/>
        <sz val="11"/>
        <color theme="1"/>
        <rFont val="Arial"/>
        <family val="2"/>
      </rPr>
      <t>ASMBR 2013</t>
    </r>
    <r>
      <rPr>
        <sz val="11"/>
        <color theme="1"/>
        <rFont val="Arial"/>
        <family val="2"/>
      </rPr>
      <t xml:space="preserve">. </t>
    </r>
  </si>
  <si>
    <r>
      <t xml:space="preserve">Tarride J, Adachi J, Brown J, et al. Real-World Outcomes and Cost of Management of Osteoporotic Fractures in Ontario, Canada. </t>
    </r>
    <r>
      <rPr>
        <i/>
        <sz val="11"/>
        <color theme="1"/>
        <rFont val="Arial"/>
        <family val="2"/>
      </rPr>
      <t>Value in Health 2019</t>
    </r>
    <r>
      <rPr>
        <sz val="11"/>
        <color theme="1"/>
        <rFont val="Arial"/>
        <family val="2"/>
      </rPr>
      <t>. doi:10.1016/j.jval.2019.04.1162</t>
    </r>
  </si>
  <si>
    <t>Step 6</t>
  </si>
  <si>
    <r>
      <t>YOUR Jurisdiction-</t>
    </r>
    <r>
      <rPr>
        <b/>
        <sz val="14"/>
        <color theme="4"/>
        <rFont val="Calibri"/>
        <family val="2"/>
        <scheme val="minor"/>
      </rPr>
      <t>COMBINED IP-OP</t>
    </r>
  </si>
  <si>
    <r>
      <t xml:space="preserve">YOUR Jurisdiction-   </t>
    </r>
    <r>
      <rPr>
        <b/>
        <sz val="14"/>
        <color rgb="FF7030A0"/>
        <rFont val="Calibri"/>
        <family val="2"/>
        <scheme val="minor"/>
      </rPr>
      <t>IP-ONLY</t>
    </r>
  </si>
  <si>
    <r>
      <t>As per Hopkins</t>
    </r>
    <r>
      <rPr>
        <vertAlign val="superscript"/>
        <sz val="11"/>
        <color theme="1"/>
        <rFont val="Calibri"/>
        <family val="2"/>
        <scheme val="minor"/>
      </rPr>
      <t xml:space="preserve"> 2</t>
    </r>
    <r>
      <rPr>
        <sz val="11"/>
        <color theme="1"/>
        <rFont val="Calibri"/>
        <family val="2"/>
        <scheme val="minor"/>
      </rPr>
      <t>, includes acute care, rehab beds, rehab clinics, complex continuting care, LTC, Home care, Outpatient physician services, mobility devices</t>
    </r>
  </si>
  <si>
    <t>* The healthcare setting (e.g., hospital) sees all of the fracture patients within the geographic jurisdiction.  For healthcare settings which see only a proportion of the fracture patients in a defined geographic jurisdiction, adjustments would need to be made.</t>
  </si>
  <si>
    <t>* Predictions depend on how the FLS is structured (for instance, a 3i FLS using an NP would need additional time for pharmacy counseling compared to a 2i FLS using an RN).</t>
  </si>
  <si>
    <t>These fracture numbers are summed as the total (all) and the total non-spine fractures.  Please note that FLSs in ortho settings will mostly see non-spine fractures.</t>
  </si>
  <si>
    <r>
      <rPr>
        <b/>
        <sz val="11"/>
        <color theme="1"/>
        <rFont val="Calibri"/>
        <family val="2"/>
        <scheme val="minor"/>
      </rPr>
      <t>Review:</t>
    </r>
    <r>
      <rPr>
        <sz val="11"/>
        <color theme="1"/>
        <rFont val="Calibri"/>
        <family val="2"/>
        <scheme val="minor"/>
      </rPr>
      <t xml:space="preserve">
</t>
    </r>
    <r>
      <rPr>
        <sz val="11"/>
        <rFont val="Calibri"/>
        <family val="2"/>
        <scheme val="minor"/>
      </rPr>
      <t xml:space="preserve">total </t>
    </r>
    <r>
      <rPr>
        <sz val="11"/>
        <color theme="1"/>
        <rFont val="Calibri"/>
        <family val="2"/>
        <scheme val="minor"/>
      </rPr>
      <t>costs predicted for 1 year and 8 years
Approximate number of hip fractures averted over 8 yrs (this depends on FLS type)</t>
    </r>
    <r>
      <rPr>
        <vertAlign val="superscript"/>
        <sz val="11"/>
        <color rgb="FFFF0000"/>
        <rFont val="Calibri"/>
        <family val="2"/>
        <scheme val="minor"/>
      </rPr>
      <t>.</t>
    </r>
    <r>
      <rPr>
        <vertAlign val="superscript"/>
        <sz val="11"/>
        <color theme="1"/>
        <rFont val="Calibri"/>
        <family val="2"/>
        <scheme val="minor"/>
      </rPr>
      <t xml:space="preserve">
</t>
    </r>
    <r>
      <rPr>
        <sz val="11"/>
        <color theme="1"/>
        <rFont val="Calibri"/>
        <family val="2"/>
        <scheme val="minor"/>
      </rPr>
      <t xml:space="preserve">Projected acute care bed days freed up over 8 yrs
Projected cost savings in hip fractures averted over 8 yrs 
Net cost avoidance over 8 years
</t>
    </r>
  </si>
  <si>
    <r>
      <rPr>
        <b/>
        <sz val="18"/>
        <color theme="1"/>
        <rFont val="Calibri"/>
        <family val="2"/>
        <scheme val="minor"/>
      </rPr>
      <t xml:space="preserve">Please ensure that the percentage matches the number is </t>
    </r>
    <r>
      <rPr>
        <b/>
        <sz val="18"/>
        <color rgb="FFFF0000"/>
        <rFont val="Calibri"/>
        <family val="2"/>
        <scheme val="minor"/>
      </rPr>
      <t>Cell E6</t>
    </r>
  </si>
  <si>
    <r>
      <t xml:space="preserve">Please ensure that the percentage matches the number is </t>
    </r>
    <r>
      <rPr>
        <b/>
        <sz val="18"/>
        <color rgb="FFFF0000"/>
        <rFont val="Calibri"/>
        <family val="2"/>
        <scheme val="minor"/>
      </rPr>
      <t>Cell E7</t>
    </r>
  </si>
  <si>
    <r>
      <t xml:space="preserve">The number entered in </t>
    </r>
    <r>
      <rPr>
        <sz val="11"/>
        <color rgb="FFFF0000"/>
        <rFont val="Calibri"/>
        <family val="2"/>
        <scheme val="minor"/>
      </rPr>
      <t>Cell B3</t>
    </r>
    <r>
      <rPr>
        <sz val="11"/>
        <rFont val="Calibri"/>
        <family val="2"/>
        <scheme val="minor"/>
      </rPr>
      <t xml:space="preserve"> automatically generates the predicted number of fragility fractures (wrist, shoulder, pelvis and spine) in that same jurisdiction.</t>
    </r>
  </si>
  <si>
    <t>* The anticipated number of patients typically enrolled is an estimation and does not include all patient interactions.   The FLS coordinator will screen more patients than will be enrolled in the FLS as some patients will be excluded for various valid reasons (traumatic fracture, pathological fracture, patient is palliative care, etc.)</t>
  </si>
  <si>
    <r>
      <t>Under the tab (Num &amp; costs of fractures) enter (</t>
    </r>
    <r>
      <rPr>
        <b/>
        <sz val="11"/>
        <color rgb="FFFF0000"/>
        <rFont val="Calibri"/>
        <family val="2"/>
        <scheme val="minor"/>
      </rPr>
      <t>Cell B3</t>
    </r>
    <r>
      <rPr>
        <sz val="11"/>
        <color theme="1"/>
        <rFont val="Calibri"/>
        <family val="2"/>
        <scheme val="minor"/>
      </rPr>
      <t xml:space="preserve">) your jurisdiction's (hospital, region OR provincial) number of hip fractures as per an administrative database. </t>
    </r>
    <r>
      <rPr>
        <sz val="11"/>
        <color rgb="FFFF0000"/>
        <rFont val="Calibri"/>
        <family val="2"/>
        <scheme val="minor"/>
      </rPr>
      <t xml:space="preserve"> </t>
    </r>
    <r>
      <rPr>
        <sz val="11"/>
        <rFont val="Calibri"/>
        <family val="2"/>
        <scheme val="minor"/>
      </rPr>
      <t>For illustrative purposes, we've simply put in "150".</t>
    </r>
  </si>
  <si>
    <r>
      <t xml:space="preserve">The estimated number of fractures automatically transfers to </t>
    </r>
    <r>
      <rPr>
        <b/>
        <sz val="11"/>
        <color rgb="FFFF0000"/>
        <rFont val="Calibri"/>
        <family val="2"/>
        <scheme val="minor"/>
      </rPr>
      <t>Cell B3</t>
    </r>
    <r>
      <rPr>
        <sz val="11"/>
        <color rgb="FFFF0000"/>
        <rFont val="Calibri"/>
        <family val="2"/>
        <scheme val="minor"/>
      </rPr>
      <t xml:space="preserve"> </t>
    </r>
    <r>
      <rPr>
        <sz val="11"/>
        <color theme="1"/>
        <rFont val="Calibri"/>
        <family val="2"/>
        <scheme val="minor"/>
      </rPr>
      <t>and is used to calculate the number of FTEs for the jurisdiction</t>
    </r>
  </si>
  <si>
    <t xml:space="preserve">Estimated number of total fracture patients screened in your FLS annually </t>
  </si>
  <si>
    <r>
      <t xml:space="preserve">As you plan your FLS model, consider the anticipated budget for your FLS. You  may want to compare the two models of Combined inpatient/outpatient FLS </t>
    </r>
    <r>
      <rPr>
        <b/>
        <sz val="11"/>
        <color rgb="FF0070C0"/>
        <rFont val="Calibri"/>
        <family val="2"/>
        <scheme val="minor"/>
      </rPr>
      <t>(Combined IP-OP FLS</t>
    </r>
    <r>
      <rPr>
        <sz val="11"/>
        <color rgb="FF0070C0"/>
        <rFont val="Calibri"/>
        <family val="2"/>
        <scheme val="minor"/>
      </rPr>
      <t>)</t>
    </r>
    <r>
      <rPr>
        <sz val="11"/>
        <color theme="1"/>
        <rFont val="Calibri"/>
        <family val="2"/>
        <scheme val="minor"/>
      </rPr>
      <t xml:space="preserve"> OR an Inpatient-only FLS </t>
    </r>
    <r>
      <rPr>
        <b/>
        <sz val="11"/>
        <color rgb="FF7030A0"/>
        <rFont val="Calibri"/>
        <family val="2"/>
        <scheme val="minor"/>
      </rPr>
      <t>(IP-only FLS)</t>
    </r>
    <r>
      <rPr>
        <sz val="11"/>
        <color theme="1"/>
        <rFont val="Calibri"/>
        <family val="2"/>
        <scheme val="minor"/>
      </rPr>
      <t xml:space="preserve"> . For example, if you have a budget for 1.0 FTE FLS Coordinator, the current example of a hospital with 150 </t>
    </r>
    <r>
      <rPr>
        <sz val="11"/>
        <color rgb="FFFF0000"/>
        <rFont val="Calibri"/>
        <family val="2"/>
        <scheme val="minor"/>
      </rPr>
      <t>(Num &amp; costs of fractures, Cell B3)</t>
    </r>
    <r>
      <rPr>
        <sz val="11"/>
        <color theme="1"/>
        <rFont val="Calibri"/>
        <family val="2"/>
        <scheme val="minor"/>
      </rPr>
      <t xml:space="preserve"> hip fractures, the logical choice would be a Combined inpatient/outpatient FLS (Combined IP-OP FLS) as it is estimated would require 1.0 FTE </t>
    </r>
    <r>
      <rPr>
        <sz val="11"/>
        <color rgb="FFFF0000"/>
        <rFont val="Calibri"/>
        <family val="2"/>
        <scheme val="minor"/>
      </rPr>
      <t>(Combined IP-OP FLS, Cell B5)</t>
    </r>
  </si>
  <si>
    <t xml:space="preserve">In cells B10, B11, C10, C11 enter the annual salary and benefits for a full time FLS Coordinator and full time FLS administrative support person.   Enter the FTE allocation for the FLS coordinator and FLS administrative support person in cells E10, E11. </t>
  </si>
  <si>
    <t>* Assumes FLS medical/physician lead (4 hrs per month for 1 FTE @ 140/hr).  Each FLS will be different.  Adjust to the FLS physician remuneration planned .</t>
  </si>
  <si>
    <t>Costs are in 2014 Canadian dollars.  Projections are not adjusted for inflation in order to remain on the conservative side.</t>
  </si>
  <si>
    <t>If desired, copy the table (beginning in J8-which duplicates the numbers generated into a reader friendly table) that begins in Cell J8 into your business proposal by left clicking to highlight entire table and right clicking to copy</t>
  </si>
  <si>
    <r>
      <rPr>
        <b/>
        <sz val="11"/>
        <color theme="1"/>
        <rFont val="Calibri"/>
        <family val="2"/>
        <scheme val="minor"/>
      </rPr>
      <t>Supporting documentation: FLS information sheets can be used freely:</t>
    </r>
    <r>
      <rPr>
        <sz val="11"/>
        <color theme="1"/>
        <rFont val="Calibri"/>
        <family val="2"/>
        <scheme val="minor"/>
      </rPr>
      <t xml:space="preserve">
</t>
    </r>
    <r>
      <rPr>
        <i/>
        <sz val="11"/>
        <color theme="1"/>
        <rFont val="Calibri"/>
        <family val="2"/>
        <scheme val="minor"/>
      </rPr>
      <t>The impact of fractures on Canadian healthcare costs</t>
    </r>
    <r>
      <rPr>
        <sz val="11"/>
        <color theme="1"/>
        <rFont val="Calibri"/>
        <family val="2"/>
        <scheme val="minor"/>
      </rPr>
      <t xml:space="preserve"> @ https://fls.osteoporosis.ca/wp-content/uploads/FLS-Info-sheet-11.0.pdf
</t>
    </r>
    <r>
      <rPr>
        <i/>
        <sz val="11"/>
        <color theme="1"/>
        <rFont val="Calibri"/>
        <family val="2"/>
        <scheme val="minor"/>
      </rPr>
      <t>Financial considerations to implement an FLS</t>
    </r>
    <r>
      <rPr>
        <sz val="11"/>
        <color theme="1"/>
        <rFont val="Calibri"/>
        <family val="2"/>
        <scheme val="minor"/>
      </rPr>
      <t xml:space="preserve"> @ https://fls.osteoporosis.ca/wp-content/uploads/FLS-Info-sheet-12.0.pdf
</t>
    </r>
    <r>
      <rPr>
        <i/>
        <sz val="11"/>
        <color theme="1"/>
        <rFont val="Calibri"/>
        <family val="2"/>
        <scheme val="minor"/>
      </rPr>
      <t>Cost savings of an FLS</t>
    </r>
    <r>
      <rPr>
        <sz val="11"/>
        <color theme="1"/>
        <rFont val="Calibri"/>
        <family val="2"/>
        <scheme val="minor"/>
      </rPr>
      <t xml:space="preserve"> @ https://fls.osteoporosis.ca/wp-content/uploads/FLS-Info-sheet-13.0.pdf</t>
    </r>
  </si>
  <si>
    <r>
      <t>Estimated number of wrist fractures</t>
    </r>
    <r>
      <rPr>
        <vertAlign val="superscript"/>
        <sz val="11"/>
        <color theme="1"/>
        <rFont val="Calibri"/>
        <family val="2"/>
        <scheme val="minor"/>
      </rPr>
      <t>A</t>
    </r>
  </si>
  <si>
    <r>
      <t>Estimated number of shoulder/humerus fractures</t>
    </r>
    <r>
      <rPr>
        <vertAlign val="superscript"/>
        <sz val="11"/>
        <color theme="1"/>
        <rFont val="Calibri"/>
        <family val="2"/>
        <scheme val="minor"/>
      </rPr>
      <t>B</t>
    </r>
  </si>
  <si>
    <r>
      <t>Estimated number of pelvic fractures</t>
    </r>
    <r>
      <rPr>
        <vertAlign val="superscript"/>
        <sz val="11"/>
        <color theme="1"/>
        <rFont val="Calibri"/>
        <family val="2"/>
        <scheme val="minor"/>
      </rPr>
      <t>C</t>
    </r>
  </si>
  <si>
    <r>
      <t>Estimated number of vertebral fractures</t>
    </r>
    <r>
      <rPr>
        <vertAlign val="superscript"/>
        <sz val="11"/>
        <color theme="1"/>
        <rFont val="Calibri"/>
        <family val="2"/>
        <scheme val="minor"/>
      </rPr>
      <t>D</t>
    </r>
  </si>
  <si>
    <r>
      <t>A. Estimated number of wrist fractures</t>
    </r>
    <r>
      <rPr>
        <vertAlign val="superscript"/>
        <sz val="10"/>
        <color theme="1"/>
        <rFont val="Arial Black"/>
        <family val="2"/>
      </rPr>
      <t>1</t>
    </r>
    <r>
      <rPr>
        <sz val="10"/>
        <color theme="1"/>
        <rFont val="Arial Black"/>
        <family val="2"/>
      </rPr>
      <t>; estimated cost of wrist fractures</t>
    </r>
    <r>
      <rPr>
        <vertAlign val="superscript"/>
        <sz val="10"/>
        <color theme="1"/>
        <rFont val="Arial Black"/>
        <family val="2"/>
      </rPr>
      <t>2</t>
    </r>
    <r>
      <rPr>
        <sz val="10"/>
        <color theme="1"/>
        <rFont val="Arial Black"/>
        <family val="2"/>
      </rPr>
      <t xml:space="preserve">
B. Estimated number of shoulder/humerus fractures</t>
    </r>
    <r>
      <rPr>
        <vertAlign val="superscript"/>
        <sz val="10"/>
        <color theme="1"/>
        <rFont val="Arial Black"/>
        <family val="2"/>
      </rPr>
      <t>1</t>
    </r>
    <r>
      <rPr>
        <sz val="10"/>
        <color theme="1"/>
        <rFont val="Arial Black"/>
        <family val="2"/>
      </rPr>
      <t>; estimated cost of shoulder/humerus fractures</t>
    </r>
    <r>
      <rPr>
        <vertAlign val="superscript"/>
        <sz val="10"/>
        <color theme="1"/>
        <rFont val="Arial Black"/>
        <family val="2"/>
      </rPr>
      <t>2</t>
    </r>
    <r>
      <rPr>
        <sz val="10"/>
        <color theme="1"/>
        <rFont val="Arial Black"/>
        <family val="2"/>
      </rPr>
      <t xml:space="preserve">
C. Estimated number of pelvic fractures</t>
    </r>
    <r>
      <rPr>
        <vertAlign val="superscript"/>
        <sz val="10"/>
        <color theme="1"/>
        <rFont val="Arial Black"/>
        <family val="2"/>
      </rPr>
      <t>3</t>
    </r>
    <r>
      <rPr>
        <sz val="10"/>
        <color theme="1"/>
        <rFont val="Arial Black"/>
        <family val="2"/>
      </rPr>
      <t>; estimated cost of pelvis fractures</t>
    </r>
    <r>
      <rPr>
        <vertAlign val="superscript"/>
        <sz val="10"/>
        <color theme="1"/>
        <rFont val="Arial Black"/>
        <family val="2"/>
      </rPr>
      <t>4</t>
    </r>
    <r>
      <rPr>
        <sz val="10"/>
        <color theme="1"/>
        <rFont val="Arial Black"/>
        <family val="2"/>
      </rPr>
      <t xml:space="preserve">
D. Estimated number of vertebral fractures</t>
    </r>
    <r>
      <rPr>
        <vertAlign val="superscript"/>
        <sz val="10"/>
        <color theme="1"/>
        <rFont val="Arial Black"/>
        <family val="2"/>
      </rPr>
      <t>2</t>
    </r>
    <r>
      <rPr>
        <sz val="10"/>
        <color theme="1"/>
        <rFont val="Arial Black"/>
        <family val="2"/>
      </rPr>
      <t>; esimated cost of vertebral fractures</t>
    </r>
    <r>
      <rPr>
        <vertAlign val="superscript"/>
        <sz val="10"/>
        <color theme="1"/>
        <rFont val="Arial Black"/>
        <family val="2"/>
      </rPr>
      <t>2</t>
    </r>
  </si>
  <si>
    <t>Combined IP-OP FLS</t>
  </si>
  <si>
    <t>IP-only FLS</t>
  </si>
  <si>
    <t>Number of patients typically enrolled in a combined IP-OP FLS annually with 1 FTE FLS Coordinator</t>
  </si>
  <si>
    <t>Estimated number of total fracture patients enrolled in your FLS annually (assumes 20% patients of total patients will be excluded for various valid reasons)</t>
  </si>
  <si>
    <t>FLS Medical lead (4 hrs per month for 1 FTE @ 140/hr)</t>
  </si>
  <si>
    <t>Combined inpatient/outpatient FLS:  An FLS where the systematic and proactive case-finding occurs both in the hospital's orthopaedic inpatient ward and in the outpatient orthopaedic clinis.</t>
  </si>
  <si>
    <t>Inpatient-only FLS:  An FLS where the systematic and proactive case-finding occurs only in the hospital's orthopaedic inpatient ward.  The outpatient orthopaedic clinics are not covered.  Most Canadian inpatient-only FLSs enroll only hip fracture patients.</t>
  </si>
  <si>
    <t>FTE and annual salary (including benefits) of FLS coordinator</t>
  </si>
  <si>
    <t xml:space="preserve"> FTE and annual salary (including benefits) of the FLS's administrative assistant</t>
  </si>
  <si>
    <t>Annual stipend for FLS Medical Lead</t>
  </si>
  <si>
    <t>Other operating costs, annual</t>
  </si>
  <si>
    <r>
      <t xml:space="preserve">If desired, find graph that automatically generates cost of fractures compared to cost of FLS. Note 2 versions:
</t>
    </r>
    <r>
      <rPr>
        <b/>
        <sz val="11"/>
        <color rgb="FF0070C0"/>
        <rFont val="Calibri"/>
        <family val="2"/>
        <scheme val="minor"/>
      </rPr>
      <t xml:space="preserve">Combined inpatient/outpatient FLS (IP-OP FLS) </t>
    </r>
    <r>
      <rPr>
        <sz val="11"/>
        <color theme="1"/>
        <rFont val="Calibri"/>
        <family val="2"/>
        <scheme val="minor"/>
      </rPr>
      <t xml:space="preserve">
</t>
    </r>
    <r>
      <rPr>
        <b/>
        <sz val="11"/>
        <color rgb="FF7030A0"/>
        <rFont val="Calibri"/>
        <family val="2"/>
        <scheme val="minor"/>
      </rPr>
      <t>Inpatient-only FLS (IP-only FLS)</t>
    </r>
  </si>
  <si>
    <t>Projected averted hip fractures</t>
  </si>
  <si>
    <t>Projected acute care bed days freed up</t>
  </si>
  <si>
    <r>
      <t>Projected gross total healthcare cost savings related to averted hip fractures</t>
    </r>
    <r>
      <rPr>
        <b/>
        <sz val="9"/>
        <color rgb="FF000000"/>
        <rFont val="Times New Roman"/>
        <family val="1"/>
      </rPr>
      <t xml:space="preserve"> </t>
    </r>
  </si>
  <si>
    <t xml:space="preserve">Number of patients typically enrolled in an IP-only FLS (usually only hip fracture patients) 
annually with 1 FTE </t>
  </si>
  <si>
    <t xml:space="preserve">Estimated number of hip fracture patients screened in your FLS annually </t>
  </si>
  <si>
    <r>
      <t xml:space="preserve">Estimated number of </t>
    </r>
    <r>
      <rPr>
        <b/>
        <u/>
        <sz val="12"/>
        <color theme="1"/>
        <rFont val="Calibri"/>
        <family val="2"/>
        <scheme val="minor"/>
      </rPr>
      <t>hip</t>
    </r>
    <r>
      <rPr>
        <b/>
        <sz val="12"/>
        <color theme="1"/>
        <rFont val="Calibri"/>
        <family val="2"/>
        <scheme val="minor"/>
      </rPr>
      <t xml:space="preserve"> fracture patients enrolled in your FLS annually (assumes 20% of total patients will be excluded)</t>
    </r>
  </si>
  <si>
    <t xml:space="preserve"> FTE and annual salary (including benefits) of FLS's adminitrative assistant</t>
  </si>
  <si>
    <t>Projected gross total healthcare cost savings related to averted hip fractures</t>
  </si>
  <si>
    <t xml:space="preserve"> </t>
  </si>
  <si>
    <t>* The projected cost savings/aversion in this tool are restricted exclusively to the savings from averted hip fractures.  This tool does not take into account the additional savings from other averted osteoporotic fractures (wrist, shoulder, pelvis, spine) as a result of the FLS.</t>
  </si>
  <si>
    <t>*Note:  we do not have access to break down of costs for pelvic fractures, only total costs, as per Reference 4.</t>
  </si>
  <si>
    <t>Salary for a full time (1.0 FTE) position</t>
  </si>
  <si>
    <t>Total direct costs of one hip fracture</t>
  </si>
  <si>
    <t>Country</t>
  </si>
  <si>
    <t>Reference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</si>
</sst>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42" formatCode="_-&quot;$&quot;* #,##0_-;\-&quot;$&quot;* #,##0_-;_-&quot;$&quot;* &quot;-&quot;_-;_-@_-"/>
    <numFmt numFmtId="44" formatCode="_-&quot;$&quot;* #,##0.00_-;\-&quot;$&quot;* #,##0.00_-;_-&quot;$&quot;* &quot;-&quot;??_-;_-@_-"/>
    <numFmt numFmtId="164" formatCode="&quot;$&quot;#,##0.00"/>
    <numFmt numFmtId="165" formatCode="0.0"/>
    <numFmt numFmtId="166" formatCode="&quot;$&quot;#,##0"/>
    <numFmt numFmtId="167" formatCode="0.0000"/>
  </numFmts>
  <fonts count="49" x14ac:knownFonts="1">
    <font>
      <sz val="11"/>
      <color theme="1"/>
      <name val="Calibri"/>
      <family val="2"/>
      <scheme val="minor"/>
    </font>
    <font>
      <b/>
      <sz val="11"/>
      <color theme="1"/>
      <name val="Calibri"/>
      <family val="2"/>
      <scheme val="minor"/>
    </font>
    <font>
      <sz val="11"/>
      <name val="Calibri"/>
      <family val="2"/>
      <scheme val="minor"/>
    </font>
    <font>
      <vertAlign val="superscript"/>
      <sz val="11"/>
      <color theme="1"/>
      <name val="Calibri"/>
      <family val="2"/>
      <scheme val="minor"/>
    </font>
    <font>
      <sz val="9"/>
      <color theme="1"/>
      <name val="Calibri"/>
      <family val="2"/>
      <scheme val="minor"/>
    </font>
    <font>
      <sz val="10"/>
      <color theme="1"/>
      <name val="Calibri"/>
      <family val="2"/>
      <scheme val="minor"/>
    </font>
    <font>
      <sz val="11"/>
      <color theme="4" tint="-0.499984740745262"/>
      <name val="Calibri"/>
      <family val="2"/>
      <scheme val="minor"/>
    </font>
    <font>
      <b/>
      <sz val="26"/>
      <color theme="4" tint="-0.499984740745262"/>
      <name val="Calibri"/>
      <family val="2"/>
      <scheme val="minor"/>
    </font>
    <font>
      <b/>
      <sz val="18"/>
      <color theme="1"/>
      <name val="Calibri"/>
      <family val="2"/>
      <scheme val="minor"/>
    </font>
    <font>
      <sz val="10"/>
      <color theme="1"/>
      <name val="Arial Black"/>
      <family val="2"/>
    </font>
    <font>
      <vertAlign val="superscript"/>
      <sz val="10"/>
      <color theme="1"/>
      <name val="Arial Black"/>
      <family val="2"/>
    </font>
    <font>
      <sz val="11"/>
      <color theme="1"/>
      <name val="Calibri"/>
      <family val="2"/>
      <scheme val="minor"/>
    </font>
    <font>
      <sz val="9"/>
      <color indexed="81"/>
      <name val="Tahoma"/>
      <family val="2"/>
    </font>
    <font>
      <b/>
      <sz val="11"/>
      <name val="Times New Roman"/>
      <family val="1"/>
    </font>
    <font>
      <b/>
      <sz val="9"/>
      <color rgb="FF000000"/>
      <name val="Times New Roman"/>
      <family val="1"/>
    </font>
    <font>
      <b/>
      <sz val="9"/>
      <name val="Arial"/>
      <family val="2"/>
    </font>
    <font>
      <b/>
      <sz val="9"/>
      <color rgb="FF000000"/>
      <name val="Arial"/>
      <family val="2"/>
    </font>
    <font>
      <sz val="9"/>
      <name val="Arial"/>
      <family val="2"/>
    </font>
    <font>
      <b/>
      <sz val="11"/>
      <color rgb="FFFF0000"/>
      <name val="Calibri"/>
      <family val="2"/>
      <scheme val="minor"/>
    </font>
    <font>
      <b/>
      <sz val="11"/>
      <color rgb="FF7030A0"/>
      <name val="Calibri"/>
      <family val="2"/>
      <scheme val="minor"/>
    </font>
    <font>
      <b/>
      <sz val="11"/>
      <name val="Calibri"/>
      <family val="2"/>
      <scheme val="minor"/>
    </font>
    <font>
      <b/>
      <sz val="11"/>
      <color rgb="FF0070C0"/>
      <name val="Calibri"/>
      <family val="2"/>
      <scheme val="minor"/>
    </font>
    <font>
      <sz val="11"/>
      <color rgb="FF0070C0"/>
      <name val="Calibri"/>
      <family val="2"/>
      <scheme val="minor"/>
    </font>
    <font>
      <i/>
      <sz val="11"/>
      <color theme="1"/>
      <name val="Calibri"/>
      <family val="2"/>
      <scheme val="minor"/>
    </font>
    <font>
      <b/>
      <sz val="12"/>
      <color theme="1"/>
      <name val="Calibri"/>
      <family val="2"/>
      <scheme val="minor"/>
    </font>
    <font>
      <sz val="12"/>
      <color theme="1"/>
      <name val="Calibri"/>
      <family val="2"/>
      <scheme val="minor"/>
    </font>
    <font>
      <vertAlign val="superscript"/>
      <sz val="12"/>
      <color theme="1"/>
      <name val="Calibri"/>
      <family val="2"/>
      <scheme val="minor"/>
    </font>
    <font>
      <b/>
      <sz val="12"/>
      <color theme="1"/>
      <name val="Times New Roman"/>
      <family val="1"/>
    </font>
    <font>
      <b/>
      <sz val="14"/>
      <color rgb="FF0070C0"/>
      <name val="Calibri"/>
      <family val="2"/>
      <scheme val="minor"/>
    </font>
    <font>
      <b/>
      <sz val="14"/>
      <color rgb="FF7030A0"/>
      <name val="Calibri"/>
      <family val="2"/>
      <scheme val="minor"/>
    </font>
    <font>
      <b/>
      <sz val="14"/>
      <color theme="1"/>
      <name val="Calibri"/>
      <family val="2"/>
      <scheme val="minor"/>
    </font>
    <font>
      <sz val="11"/>
      <color rgb="FFFF0000"/>
      <name val="Arial"/>
      <family val="2"/>
    </font>
    <font>
      <b/>
      <sz val="11"/>
      <color rgb="FFFF0000"/>
      <name val="Arial"/>
      <family val="2"/>
    </font>
    <font>
      <b/>
      <sz val="14"/>
      <color rgb="FFFF0000"/>
      <name val="Arial"/>
      <family val="2"/>
    </font>
    <font>
      <sz val="12"/>
      <color theme="1"/>
      <name val="Times New Roman"/>
      <family val="1"/>
    </font>
    <font>
      <sz val="12"/>
      <color rgb="FF000000"/>
      <name val="Times New Roman"/>
      <family val="1"/>
    </font>
    <font>
      <vertAlign val="superscript"/>
      <sz val="12"/>
      <color theme="1"/>
      <name val="Times New Roman"/>
      <family val="1"/>
    </font>
    <font>
      <vertAlign val="superscript"/>
      <sz val="12"/>
      <color rgb="FF000000"/>
      <name val="Times New Roman"/>
      <family val="1"/>
    </font>
    <font>
      <sz val="11"/>
      <name val="Arial"/>
      <family val="2"/>
    </font>
    <font>
      <sz val="11"/>
      <color theme="1"/>
      <name val="Arial"/>
      <family val="2"/>
    </font>
    <font>
      <i/>
      <sz val="11"/>
      <color theme="1"/>
      <name val="Arial"/>
      <family val="2"/>
    </font>
    <font>
      <b/>
      <sz val="14"/>
      <color theme="4"/>
      <name val="Calibri"/>
      <family val="2"/>
      <scheme val="minor"/>
    </font>
    <font>
      <sz val="11"/>
      <color rgb="FFFF0000"/>
      <name val="Calibri"/>
      <family val="2"/>
      <scheme val="minor"/>
    </font>
    <font>
      <vertAlign val="superscript"/>
      <sz val="11"/>
      <color rgb="FFFF0000"/>
      <name val="Calibri"/>
      <family val="2"/>
      <scheme val="minor"/>
    </font>
    <font>
      <sz val="12"/>
      <color rgb="FFFF0000"/>
      <name val="Times New Roman"/>
      <family val="1"/>
    </font>
    <font>
      <b/>
      <sz val="18"/>
      <color rgb="FFFF0000"/>
      <name val="Calibri"/>
      <family val="2"/>
      <scheme val="minor"/>
    </font>
    <font>
      <b/>
      <u/>
      <sz val="12"/>
      <color theme="1"/>
      <name val="Calibri"/>
      <family val="2"/>
      <scheme val="minor"/>
    </font>
    <font>
      <sz val="11"/>
      <color rgb="FF00B050"/>
      <name val="Calibri"/>
      <family val="2"/>
      <scheme val="minor"/>
    </font>
    <font>
      <b/>
      <sz val="20"/>
      <color theme="1"/>
      <name val="Calibri"/>
      <family val="2"/>
      <scheme val="minor"/>
    </font>
  </fonts>
  <fills count="19">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CC99FF"/>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rgb="FFCCC0D9"/>
        <bgColor indexed="64"/>
      </patternFill>
    </fill>
    <fill>
      <patternFill patternType="solid">
        <fgColor rgb="FFB6DDE8"/>
        <bgColor indexed="64"/>
      </patternFill>
    </fill>
    <fill>
      <patternFill patternType="solid">
        <fgColor rgb="FFD6E3BC"/>
        <bgColor indexed="64"/>
      </patternFill>
    </fill>
    <fill>
      <patternFill patternType="solid">
        <fgColor rgb="FFBFBFBF"/>
        <bgColor indexed="64"/>
      </patternFill>
    </fill>
    <fill>
      <patternFill patternType="solid">
        <fgColor theme="2"/>
        <bgColor indexed="64"/>
      </patternFill>
    </fill>
    <fill>
      <patternFill patternType="solid">
        <fgColor rgb="FF92D050"/>
        <bgColor indexed="64"/>
      </patternFill>
    </fill>
    <fill>
      <patternFill patternType="solid">
        <fgColor theme="0"/>
        <bgColor indexed="64"/>
      </patternFill>
    </fill>
  </fills>
  <borders count="44">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thin">
        <color indexed="64"/>
      </left>
      <right style="medium">
        <color indexed="64"/>
      </right>
      <top style="medium">
        <color indexed="64"/>
      </top>
      <bottom/>
      <diagonal/>
    </border>
    <border>
      <left/>
      <right style="thin">
        <color indexed="64"/>
      </right>
      <top/>
      <bottom/>
      <diagonal/>
    </border>
    <border>
      <left style="medium">
        <color rgb="FFFF0000"/>
      </left>
      <right style="medium">
        <color rgb="FFFF0000"/>
      </right>
      <top style="medium">
        <color rgb="FFFF0000"/>
      </top>
      <bottom style="medium">
        <color rgb="FFFF0000"/>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rgb="FFFF0000"/>
      </left>
      <right style="thin">
        <color rgb="FFFF0000"/>
      </right>
      <top style="thin">
        <color rgb="FFFF0000"/>
      </top>
      <bottom style="thin">
        <color rgb="FFFF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s>
  <cellStyleXfs count="3">
    <xf numFmtId="0" fontId="0" fillId="0" borderId="0"/>
    <xf numFmtId="44" fontId="11" fillId="0" borderId="0" applyFont="0" applyFill="0" applyBorder="0" applyAlignment="0" applyProtection="0"/>
    <xf numFmtId="9" fontId="11" fillId="0" borderId="0" applyFont="0" applyFill="0" applyBorder="0" applyAlignment="0" applyProtection="0"/>
  </cellStyleXfs>
  <cellXfs count="191">
    <xf numFmtId="0" fontId="0" fillId="0" borderId="0" xfId="0"/>
    <xf numFmtId="0" fontId="0" fillId="0" borderId="7" xfId="0" applyBorder="1"/>
    <xf numFmtId="0" fontId="0" fillId="5" borderId="3" xfId="0" applyFill="1" applyBorder="1"/>
    <xf numFmtId="0" fontId="2" fillId="0" borderId="0" xfId="0" applyFont="1"/>
    <xf numFmtId="0" fontId="1" fillId="0" borderId="0" xfId="0" applyFont="1"/>
    <xf numFmtId="164" fontId="0" fillId="0" borderId="0" xfId="0" applyNumberFormat="1"/>
    <xf numFmtId="164" fontId="1" fillId="0" borderId="0" xfId="0" applyNumberFormat="1" applyFont="1"/>
    <xf numFmtId="1" fontId="0" fillId="5" borderId="15" xfId="0" applyNumberFormat="1" applyFill="1" applyBorder="1" applyAlignment="1">
      <alignment horizontal="center" vertical="center"/>
    </xf>
    <xf numFmtId="1" fontId="0" fillId="6" borderId="15" xfId="0" applyNumberFormat="1" applyFill="1" applyBorder="1" applyAlignment="1">
      <alignment horizontal="center" vertical="center"/>
    </xf>
    <xf numFmtId="1" fontId="0" fillId="4" borderId="15" xfId="0" applyNumberFormat="1" applyFill="1" applyBorder="1" applyAlignment="1">
      <alignment horizontal="center" vertical="center"/>
    </xf>
    <xf numFmtId="0" fontId="0" fillId="3" borderId="3" xfId="0" applyFill="1" applyBorder="1"/>
    <xf numFmtId="0" fontId="0" fillId="6" borderId="3" xfId="0" applyFill="1" applyBorder="1"/>
    <xf numFmtId="0" fontId="0" fillId="4" borderId="3" xfId="0" applyFill="1" applyBorder="1"/>
    <xf numFmtId="164" fontId="0" fillId="3" borderId="9" xfId="0" applyNumberFormat="1" applyFill="1" applyBorder="1" applyAlignment="1">
      <alignment horizontal="center" vertical="center"/>
    </xf>
    <xf numFmtId="164" fontId="0" fillId="3" borderId="4" xfId="0" applyNumberFormat="1" applyFill="1" applyBorder="1" applyAlignment="1">
      <alignment horizontal="center" vertical="center"/>
    </xf>
    <xf numFmtId="164" fontId="0" fillId="5" borderId="9" xfId="0" applyNumberFormat="1" applyFill="1" applyBorder="1" applyAlignment="1">
      <alignment horizontal="center" vertical="center"/>
    </xf>
    <xf numFmtId="164" fontId="0" fillId="5" borderId="4" xfId="0" applyNumberFormat="1" applyFill="1" applyBorder="1" applyAlignment="1">
      <alignment horizontal="center" vertical="center"/>
    </xf>
    <xf numFmtId="164" fontId="0" fillId="6" borderId="9" xfId="0" applyNumberFormat="1" applyFill="1" applyBorder="1" applyAlignment="1">
      <alignment horizontal="center" vertical="center"/>
    </xf>
    <xf numFmtId="164" fontId="0" fillId="6" borderId="4" xfId="0" applyNumberFormat="1" applyFill="1" applyBorder="1" applyAlignment="1">
      <alignment horizontal="center" vertical="center"/>
    </xf>
    <xf numFmtId="164" fontId="0" fillId="4" borderId="9" xfId="0" applyNumberFormat="1" applyFill="1" applyBorder="1" applyAlignment="1">
      <alignment horizontal="center" vertical="center"/>
    </xf>
    <xf numFmtId="164" fontId="0" fillId="4" borderId="4" xfId="0" applyNumberFormat="1" applyFill="1" applyBorder="1" applyAlignment="1">
      <alignment horizontal="center" vertical="center"/>
    </xf>
    <xf numFmtId="164" fontId="1" fillId="2" borderId="4" xfId="0" applyNumberFormat="1" applyFont="1" applyFill="1" applyBorder="1" applyAlignment="1">
      <alignment horizontal="center" vertical="center"/>
    </xf>
    <xf numFmtId="164" fontId="1" fillId="0" borderId="0" xfId="0" applyNumberFormat="1" applyFont="1" applyAlignment="1">
      <alignment horizontal="center" vertical="center"/>
    </xf>
    <xf numFmtId="0" fontId="0" fillId="7" borderId="8" xfId="0" applyFill="1" applyBorder="1" applyAlignment="1">
      <alignment vertical="center" wrapText="1"/>
    </xf>
    <xf numFmtId="0" fontId="1" fillId="0" borderId="0" xfId="0" applyFont="1" applyAlignment="1">
      <alignment vertical="center"/>
    </xf>
    <xf numFmtId="0" fontId="0" fillId="0" borderId="0" xfId="0" applyAlignment="1">
      <alignment vertical="center"/>
    </xf>
    <xf numFmtId="0" fontId="0" fillId="7" borderId="12" xfId="0" applyFill="1" applyBorder="1" applyAlignment="1">
      <alignment vertical="center" wrapText="1"/>
    </xf>
    <xf numFmtId="0" fontId="1" fillId="7" borderId="11"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0" fillId="0" borderId="9" xfId="0" applyBorder="1" applyAlignment="1">
      <alignment horizontal="center" vertical="center" wrapText="1"/>
    </xf>
    <xf numFmtId="0" fontId="1" fillId="9" borderId="5" xfId="0" applyFont="1" applyFill="1" applyBorder="1"/>
    <xf numFmtId="0" fontId="1" fillId="9" borderId="10" xfId="0" applyFont="1" applyFill="1" applyBorder="1" applyAlignment="1">
      <alignment horizontal="center" vertical="center"/>
    </xf>
    <xf numFmtId="164" fontId="1" fillId="9" borderId="6" xfId="0" applyNumberFormat="1" applyFont="1" applyFill="1" applyBorder="1" applyAlignment="1">
      <alignment horizontal="center" vertical="center"/>
    </xf>
    <xf numFmtId="0" fontId="0" fillId="2" borderId="11" xfId="0" applyFill="1" applyBorder="1" applyAlignment="1">
      <alignment horizontal="center" vertical="center" wrapText="1"/>
    </xf>
    <xf numFmtId="0" fontId="0" fillId="3" borderId="11" xfId="0" applyFill="1" applyBorder="1" applyAlignment="1">
      <alignment horizontal="center" vertical="center" wrapText="1"/>
    </xf>
    <xf numFmtId="0" fontId="0" fillId="5" borderId="11" xfId="0" applyFill="1" applyBorder="1" applyAlignment="1">
      <alignment horizontal="center" vertical="center" wrapText="1"/>
    </xf>
    <xf numFmtId="0" fontId="0" fillId="6" borderId="11" xfId="0" applyFill="1" applyBorder="1" applyAlignment="1">
      <alignment horizontal="center" vertical="center" wrapText="1"/>
    </xf>
    <xf numFmtId="0" fontId="0" fillId="4" borderId="11" xfId="0" applyFill="1" applyBorder="1" applyAlignment="1">
      <alignment horizontal="center" vertical="center" wrapText="1"/>
    </xf>
    <xf numFmtId="0" fontId="1" fillId="9" borderId="2" xfId="0" applyFont="1" applyFill="1" applyBorder="1" applyAlignment="1">
      <alignment horizontal="center" vertical="center" wrapText="1"/>
    </xf>
    <xf numFmtId="164" fontId="0" fillId="0" borderId="13" xfId="0" applyNumberFormat="1" applyBorder="1"/>
    <xf numFmtId="0" fontId="1" fillId="0" borderId="7" xfId="0" applyFont="1" applyBorder="1"/>
    <xf numFmtId="164" fontId="1" fillId="0" borderId="13" xfId="0" applyNumberFormat="1" applyFont="1" applyBorder="1"/>
    <xf numFmtId="0" fontId="0" fillId="0" borderId="13" xfId="0" applyBorder="1"/>
    <xf numFmtId="0" fontId="1" fillId="9" borderId="14" xfId="0" applyFont="1" applyFill="1" applyBorder="1" applyAlignment="1">
      <alignment wrapText="1"/>
    </xf>
    <xf numFmtId="164" fontId="1" fillId="9" borderId="17" xfId="0" applyNumberFormat="1" applyFont="1" applyFill="1" applyBorder="1"/>
    <xf numFmtId="0" fontId="1" fillId="9" borderId="17" xfId="0" applyFont="1" applyFill="1" applyBorder="1"/>
    <xf numFmtId="164" fontId="1" fillId="9" borderId="18" xfId="0" applyNumberFormat="1" applyFont="1" applyFill="1" applyBorder="1"/>
    <xf numFmtId="164" fontId="1" fillId="2" borderId="0" xfId="0" applyNumberFormat="1" applyFont="1" applyFill="1"/>
    <xf numFmtId="164" fontId="1" fillId="3" borderId="0" xfId="0" applyNumberFormat="1" applyFont="1" applyFill="1"/>
    <xf numFmtId="164" fontId="1" fillId="5" borderId="0" xfId="0" applyNumberFormat="1" applyFont="1" applyFill="1"/>
    <xf numFmtId="164" fontId="1" fillId="4" borderId="0" xfId="0" applyNumberFormat="1" applyFont="1" applyFill="1"/>
    <xf numFmtId="0" fontId="1" fillId="9" borderId="19" xfId="0" applyFont="1" applyFill="1" applyBorder="1" applyAlignment="1">
      <alignment wrapText="1"/>
    </xf>
    <xf numFmtId="1" fontId="1" fillId="9" borderId="19" xfId="0" applyNumberFormat="1" applyFont="1" applyFill="1" applyBorder="1" applyAlignment="1">
      <alignment horizontal="center" vertical="center"/>
    </xf>
    <xf numFmtId="0" fontId="1" fillId="9" borderId="19" xfId="0" applyFont="1" applyFill="1" applyBorder="1" applyAlignment="1">
      <alignment horizontal="center" vertical="center"/>
    </xf>
    <xf numFmtId="164" fontId="1" fillId="9" borderId="19" xfId="0" applyNumberFormat="1" applyFont="1" applyFill="1" applyBorder="1" applyAlignment="1">
      <alignment horizontal="center" vertical="center"/>
    </xf>
    <xf numFmtId="164" fontId="1" fillId="0" borderId="0" xfId="0" applyNumberFormat="1" applyFont="1" applyAlignment="1">
      <alignment horizontal="left" vertical="top" wrapText="1"/>
    </xf>
    <xf numFmtId="0" fontId="6" fillId="0" borderId="0" xfId="0" applyFont="1"/>
    <xf numFmtId="0" fontId="7" fillId="0" borderId="0" xfId="0" applyFont="1"/>
    <xf numFmtId="0" fontId="8" fillId="0" borderId="0" xfId="0" applyFont="1"/>
    <xf numFmtId="0" fontId="1" fillId="2" borderId="11" xfId="0" applyFont="1" applyFill="1" applyBorder="1" applyAlignment="1">
      <alignment wrapText="1"/>
    </xf>
    <xf numFmtId="42" fontId="1" fillId="0" borderId="0" xfId="1" applyNumberFormat="1" applyFont="1" applyBorder="1"/>
    <xf numFmtId="42" fontId="1" fillId="0" borderId="13" xfId="1" applyNumberFormat="1" applyFont="1" applyBorder="1"/>
    <xf numFmtId="44" fontId="0" fillId="0" borderId="0" xfId="1" applyFont="1" applyBorder="1"/>
    <xf numFmtId="0" fontId="0" fillId="0" borderId="21" xfId="0" applyBorder="1"/>
    <xf numFmtId="0" fontId="0" fillId="0" borderId="22" xfId="0" applyBorder="1"/>
    <xf numFmtId="42" fontId="0" fillId="0" borderId="0" xfId="0" applyNumberFormat="1"/>
    <xf numFmtId="42" fontId="1" fillId="0" borderId="21" xfId="0" applyNumberFormat="1" applyFont="1" applyBorder="1"/>
    <xf numFmtId="165" fontId="0" fillId="10" borderId="9" xfId="0" applyNumberFormat="1" applyFill="1" applyBorder="1"/>
    <xf numFmtId="165" fontId="0" fillId="10" borderId="0" xfId="0" applyNumberFormat="1" applyFill="1"/>
    <xf numFmtId="165" fontId="0" fillId="10" borderId="23" xfId="0" applyNumberFormat="1" applyFill="1" applyBorder="1"/>
    <xf numFmtId="0" fontId="0" fillId="11" borderId="9" xfId="0" applyFill="1" applyBorder="1"/>
    <xf numFmtId="166" fontId="1" fillId="11" borderId="9" xfId="0" applyNumberFormat="1" applyFont="1" applyFill="1" applyBorder="1"/>
    <xf numFmtId="0" fontId="15" fillId="12" borderId="25" xfId="0" applyFont="1" applyFill="1" applyBorder="1" applyAlignment="1">
      <alignment horizontal="center" vertical="center" wrapText="1"/>
    </xf>
    <xf numFmtId="0" fontId="16" fillId="12" borderId="25" xfId="0" applyFont="1" applyFill="1" applyBorder="1" applyAlignment="1">
      <alignment horizontal="center" vertical="center" wrapText="1"/>
    </xf>
    <xf numFmtId="0" fontId="0" fillId="12" borderId="26" xfId="0" applyFill="1" applyBorder="1" applyAlignment="1">
      <alignment vertical="top" wrapText="1"/>
    </xf>
    <xf numFmtId="165" fontId="14" fillId="13" borderId="25" xfId="0" applyNumberFormat="1" applyFont="1" applyFill="1" applyBorder="1" applyAlignment="1">
      <alignment horizontal="justify" vertical="top" wrapText="1"/>
    </xf>
    <xf numFmtId="42" fontId="1" fillId="0" borderId="0" xfId="1" applyNumberFormat="1" applyFont="1" applyFill="1" applyBorder="1"/>
    <xf numFmtId="0" fontId="1" fillId="2" borderId="34" xfId="0" applyFont="1" applyFill="1" applyBorder="1" applyAlignment="1">
      <alignment wrapText="1"/>
    </xf>
    <xf numFmtId="0" fontId="0" fillId="0" borderId="35" xfId="0" applyBorder="1"/>
    <xf numFmtId="166" fontId="0" fillId="0" borderId="0" xfId="0" applyNumberFormat="1"/>
    <xf numFmtId="167" fontId="0" fillId="0" borderId="0" xfId="2" applyNumberFormat="1" applyFont="1"/>
    <xf numFmtId="0" fontId="1" fillId="2" borderId="37" xfId="0" applyFont="1" applyFill="1" applyBorder="1" applyAlignment="1">
      <alignment horizontal="left" vertical="center" wrapText="1"/>
    </xf>
    <xf numFmtId="164" fontId="1" fillId="2" borderId="15" xfId="0" applyNumberFormat="1" applyFont="1" applyFill="1" applyBorder="1" applyAlignment="1">
      <alignment horizontal="center" vertical="center"/>
    </xf>
    <xf numFmtId="1" fontId="0" fillId="3" borderId="38" xfId="0" applyNumberFormat="1" applyFill="1" applyBorder="1" applyAlignment="1">
      <alignment horizontal="center" vertical="center"/>
    </xf>
    <xf numFmtId="44" fontId="1" fillId="8" borderId="39" xfId="1" applyFont="1" applyFill="1" applyBorder="1"/>
    <xf numFmtId="0" fontId="1" fillId="8" borderId="39" xfId="0" applyFont="1" applyFill="1" applyBorder="1"/>
    <xf numFmtId="0" fontId="1" fillId="16" borderId="0" xfId="0" applyFont="1" applyFill="1"/>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1" fillId="9" borderId="1" xfId="0" applyFont="1" applyFill="1" applyBorder="1" applyAlignment="1">
      <alignment horizontal="center" vertical="center" wrapText="1"/>
    </xf>
    <xf numFmtId="0" fontId="1" fillId="0" borderId="0" xfId="0" applyFont="1" applyAlignment="1">
      <alignment wrapText="1"/>
    </xf>
    <xf numFmtId="0" fontId="1" fillId="0" borderId="0" xfId="0" applyFont="1" applyAlignment="1">
      <alignment vertical="top"/>
    </xf>
    <xf numFmtId="0" fontId="23" fillId="0" borderId="0" xfId="0" applyFont="1" applyAlignment="1">
      <alignment vertical="top"/>
    </xf>
    <xf numFmtId="0" fontId="25" fillId="0" borderId="0" xfId="0" applyFont="1"/>
    <xf numFmtId="0" fontId="24" fillId="0" borderId="0" xfId="0" applyFont="1"/>
    <xf numFmtId="0" fontId="24" fillId="8" borderId="1" xfId="0" applyFont="1" applyFill="1" applyBorder="1" applyAlignment="1">
      <alignment vertical="top" wrapText="1"/>
    </xf>
    <xf numFmtId="0" fontId="24" fillId="0" borderId="7" xfId="0" applyFont="1" applyBorder="1" applyAlignment="1">
      <alignment wrapText="1"/>
    </xf>
    <xf numFmtId="0" fontId="24" fillId="0" borderId="7" xfId="0" applyFont="1" applyBorder="1" applyAlignment="1">
      <alignment vertical="center" wrapText="1"/>
    </xf>
    <xf numFmtId="0" fontId="24" fillId="0" borderId="7" xfId="0" applyFont="1" applyBorder="1"/>
    <xf numFmtId="0" fontId="25" fillId="0" borderId="7" xfId="0" applyFont="1" applyBorder="1"/>
    <xf numFmtId="0" fontId="24" fillId="11" borderId="9" xfId="0" applyFont="1" applyFill="1" applyBorder="1"/>
    <xf numFmtId="0" fontId="24" fillId="0" borderId="7" xfId="0" applyFont="1" applyBorder="1" applyAlignment="1">
      <alignment vertical="top" wrapText="1"/>
    </xf>
    <xf numFmtId="0" fontId="25" fillId="0" borderId="7" xfId="0" applyFont="1" applyBorder="1" applyAlignment="1">
      <alignment wrapText="1"/>
    </xf>
    <xf numFmtId="0" fontId="27" fillId="0" borderId="20" xfId="0" applyFont="1" applyBorder="1"/>
    <xf numFmtId="1" fontId="30" fillId="9" borderId="16" xfId="0" applyNumberFormat="1" applyFont="1" applyFill="1" applyBorder="1" applyAlignment="1">
      <alignment horizontal="center" vertical="center"/>
    </xf>
    <xf numFmtId="1" fontId="25" fillId="0" borderId="0" xfId="0" applyNumberFormat="1" applyFont="1"/>
    <xf numFmtId="2" fontId="25" fillId="0" borderId="0" xfId="0" applyNumberFormat="1" applyFont="1"/>
    <xf numFmtId="1" fontId="24" fillId="0" borderId="0" xfId="0" applyNumberFormat="1" applyFont="1"/>
    <xf numFmtId="44" fontId="25" fillId="0" borderId="0" xfId="1" applyFont="1" applyBorder="1" applyAlignment="1">
      <alignment horizontal="left"/>
    </xf>
    <xf numFmtId="42" fontId="25" fillId="0" borderId="0" xfId="0" applyNumberFormat="1" applyFont="1"/>
    <xf numFmtId="42" fontId="24" fillId="0" borderId="21" xfId="0" applyNumberFormat="1" applyFont="1" applyBorder="1"/>
    <xf numFmtId="0" fontId="20" fillId="8" borderId="19" xfId="0" applyFont="1" applyFill="1" applyBorder="1" applyAlignment="1">
      <alignment vertical="top"/>
    </xf>
    <xf numFmtId="0" fontId="1" fillId="8" borderId="19" xfId="0" applyFont="1" applyFill="1" applyBorder="1" applyAlignment="1">
      <alignment vertical="top"/>
    </xf>
    <xf numFmtId="0" fontId="1" fillId="8" borderId="40" xfId="0" applyFont="1" applyFill="1" applyBorder="1" applyAlignment="1">
      <alignment vertical="top"/>
    </xf>
    <xf numFmtId="0" fontId="0" fillId="8" borderId="41" xfId="0" applyFill="1" applyBorder="1"/>
    <xf numFmtId="0" fontId="1" fillId="0" borderId="0" xfId="0" applyFont="1" applyAlignment="1">
      <alignment vertical="top" wrapText="1"/>
    </xf>
    <xf numFmtId="0" fontId="34" fillId="0" borderId="0" xfId="0" applyFont="1" applyAlignment="1">
      <alignment vertical="top"/>
    </xf>
    <xf numFmtId="0" fontId="34" fillId="0" borderId="0" xfId="0" applyFont="1" applyAlignment="1">
      <alignment vertical="top" wrapText="1"/>
    </xf>
    <xf numFmtId="0" fontId="35" fillId="0" borderId="0" xfId="0" applyFont="1" applyAlignment="1">
      <alignment vertical="top"/>
    </xf>
    <xf numFmtId="0" fontId="34" fillId="0" borderId="0" xfId="0" applyFont="1"/>
    <xf numFmtId="0" fontId="8" fillId="0" borderId="0" xfId="0" applyFont="1" applyAlignment="1">
      <alignment vertical="top" wrapText="1"/>
    </xf>
    <xf numFmtId="44" fontId="34" fillId="0" borderId="0" xfId="1" applyFont="1" applyAlignment="1">
      <alignment vertical="top"/>
    </xf>
    <xf numFmtId="44" fontId="0" fillId="0" borderId="0" xfId="1" applyFont="1"/>
    <xf numFmtId="0" fontId="1" fillId="0" borderId="0" xfId="0" applyFont="1" applyAlignment="1">
      <alignment horizontal="left" vertical="top" wrapText="1"/>
    </xf>
    <xf numFmtId="0" fontId="38" fillId="0" borderId="0" xfId="0" applyFont="1" applyAlignment="1">
      <alignment wrapText="1"/>
    </xf>
    <xf numFmtId="0" fontId="39" fillId="0" borderId="0" xfId="0" applyFont="1" applyAlignment="1">
      <alignment horizontal="left" vertical="top" wrapText="1"/>
    </xf>
    <xf numFmtId="0" fontId="30" fillId="0" borderId="0" xfId="0" applyFont="1" applyAlignment="1">
      <alignment vertical="top" wrapText="1"/>
    </xf>
    <xf numFmtId="0" fontId="30" fillId="8" borderId="42" xfId="0" applyFont="1" applyFill="1" applyBorder="1" applyAlignment="1">
      <alignment vertical="top" wrapText="1"/>
    </xf>
    <xf numFmtId="0" fontId="30" fillId="8" borderId="19" xfId="0" applyFont="1" applyFill="1" applyBorder="1" applyAlignment="1">
      <alignment vertical="top" wrapText="1"/>
    </xf>
    <xf numFmtId="0" fontId="44" fillId="0" borderId="0" xfId="0" applyFont="1" applyAlignment="1">
      <alignment vertical="top"/>
    </xf>
    <xf numFmtId="0" fontId="8" fillId="17" borderId="9" xfId="0" applyFont="1" applyFill="1" applyBorder="1" applyAlignment="1">
      <alignment vertical="top" wrapText="1"/>
    </xf>
    <xf numFmtId="0" fontId="24" fillId="0" borderId="0" xfId="0" applyFont="1" applyAlignment="1">
      <alignment wrapText="1"/>
    </xf>
    <xf numFmtId="0" fontId="25" fillId="0" borderId="0" xfId="0" applyFont="1" applyAlignment="1">
      <alignment vertical="center" wrapText="1"/>
    </xf>
    <xf numFmtId="0" fontId="29" fillId="0" borderId="0" xfId="0" applyFont="1" applyAlignment="1">
      <alignment vertical="center"/>
    </xf>
    <xf numFmtId="0" fontId="30" fillId="0" borderId="0" xfId="0" applyFont="1" applyAlignment="1">
      <alignment vertical="center"/>
    </xf>
    <xf numFmtId="0" fontId="28" fillId="0" borderId="0" xfId="0" applyFont="1" applyAlignment="1">
      <alignment vertical="center"/>
    </xf>
    <xf numFmtId="1" fontId="30" fillId="0" borderId="0" xfId="0" applyNumberFormat="1" applyFont="1" applyAlignment="1">
      <alignment vertical="center"/>
    </xf>
    <xf numFmtId="0" fontId="24" fillId="16" borderId="43" xfId="0" applyFont="1" applyFill="1" applyBorder="1" applyAlignment="1">
      <alignment vertical="top" wrapText="1"/>
    </xf>
    <xf numFmtId="1" fontId="41" fillId="16" borderId="9" xfId="0" applyNumberFormat="1" applyFont="1" applyFill="1" applyBorder="1" applyAlignment="1">
      <alignment vertical="center"/>
    </xf>
    <xf numFmtId="0" fontId="24" fillId="16" borderId="9" xfId="0" applyFont="1" applyFill="1" applyBorder="1" applyAlignment="1">
      <alignment vertical="top" wrapText="1"/>
    </xf>
    <xf numFmtId="1" fontId="29" fillId="16" borderId="9" xfId="0" applyNumberFormat="1" applyFont="1" applyFill="1" applyBorder="1" applyAlignment="1">
      <alignment vertical="center"/>
    </xf>
    <xf numFmtId="0" fontId="47" fillId="0" borderId="0" xfId="0" applyFont="1"/>
    <xf numFmtId="0" fontId="48" fillId="8" borderId="36" xfId="0" applyFont="1" applyFill="1" applyBorder="1" applyAlignment="1">
      <alignment horizontal="center" vertical="center"/>
    </xf>
    <xf numFmtId="164" fontId="1" fillId="0" borderId="7" xfId="0" applyNumberFormat="1" applyFont="1" applyBorder="1" applyAlignment="1">
      <alignment horizontal="left" vertical="top" wrapText="1"/>
    </xf>
    <xf numFmtId="164" fontId="1" fillId="0" borderId="0" xfId="0" applyNumberFormat="1" applyFont="1" applyAlignment="1">
      <alignment horizontal="left" vertical="top" wrapText="1"/>
    </xf>
    <xf numFmtId="0" fontId="9" fillId="0" borderId="12" xfId="0" applyFont="1" applyBorder="1" applyAlignment="1">
      <alignment horizontal="left" vertical="top" wrapText="1"/>
    </xf>
    <xf numFmtId="0" fontId="4" fillId="0" borderId="12" xfId="0" applyFont="1" applyBorder="1" applyAlignment="1">
      <alignment horizontal="left" vertical="top" wrapText="1"/>
    </xf>
    <xf numFmtId="0" fontId="14" fillId="14" borderId="11" xfId="0" applyFont="1" applyFill="1" applyBorder="1" applyAlignment="1">
      <alignment vertical="top" wrapText="1"/>
    </xf>
    <xf numFmtId="0" fontId="14" fillId="14" borderId="9" xfId="0" applyFont="1" applyFill="1" applyBorder="1" applyAlignment="1">
      <alignment vertical="top" wrapText="1"/>
    </xf>
    <xf numFmtId="0" fontId="0" fillId="0" borderId="10" xfId="0" applyBorder="1" applyAlignment="1">
      <alignment vertical="top" wrapText="1"/>
    </xf>
    <xf numFmtId="0" fontId="14" fillId="14" borderId="27" xfId="0" applyFont="1" applyFill="1" applyBorder="1" applyAlignment="1">
      <alignment vertical="top" wrapText="1"/>
    </xf>
    <xf numFmtId="0" fontId="14" fillId="14" borderId="28" xfId="0" applyFont="1" applyFill="1" applyBorder="1" applyAlignment="1">
      <alignment vertical="top" wrapText="1"/>
    </xf>
    <xf numFmtId="0" fontId="0" fillId="0" borderId="29" xfId="0" applyBorder="1" applyAlignment="1">
      <alignment vertical="top" wrapText="1"/>
    </xf>
    <xf numFmtId="1" fontId="31" fillId="0" borderId="24" xfId="0" applyNumberFormat="1" applyFont="1" applyBorder="1" applyAlignment="1">
      <alignment horizontal="center" vertical="center" wrapText="1"/>
    </xf>
    <xf numFmtId="0" fontId="31" fillId="0" borderId="26" xfId="0" applyFont="1" applyBorder="1" applyAlignment="1">
      <alignment horizontal="center" vertical="center" wrapText="1"/>
    </xf>
    <xf numFmtId="42" fontId="31" fillId="0" borderId="24" xfId="0" applyNumberFormat="1" applyFont="1" applyBorder="1" applyAlignment="1">
      <alignment horizontal="center" vertical="center" wrapText="1"/>
    </xf>
    <xf numFmtId="6" fontId="31" fillId="0" borderId="26" xfId="0" applyNumberFormat="1" applyFont="1" applyBorder="1" applyAlignment="1">
      <alignment horizontal="center" vertical="center" wrapText="1"/>
    </xf>
    <xf numFmtId="42" fontId="33" fillId="14" borderId="24" xfId="0" applyNumberFormat="1" applyFont="1" applyFill="1" applyBorder="1" applyAlignment="1">
      <alignment horizontal="center" vertical="center" wrapText="1"/>
    </xf>
    <xf numFmtId="0" fontId="33" fillId="14" borderId="26" xfId="0" applyFont="1" applyFill="1" applyBorder="1" applyAlignment="1">
      <alignment horizontal="center" vertical="center" wrapText="1"/>
    </xf>
    <xf numFmtId="0" fontId="15" fillId="12" borderId="24" xfId="0" applyFont="1" applyFill="1" applyBorder="1" applyAlignment="1">
      <alignment horizontal="center" vertical="center" wrapText="1"/>
    </xf>
    <xf numFmtId="0" fontId="0" fillId="0" borderId="26" xfId="0" applyBorder="1" applyAlignment="1">
      <alignment horizontal="center" vertical="center" wrapText="1"/>
    </xf>
    <xf numFmtId="0" fontId="17" fillId="14" borderId="24" xfId="0" applyFont="1" applyFill="1" applyBorder="1" applyAlignment="1">
      <alignment horizontal="center" vertical="center" wrapText="1"/>
    </xf>
    <xf numFmtId="0" fontId="0" fillId="0" borderId="25" xfId="0" applyBorder="1" applyAlignment="1">
      <alignment horizontal="center" vertical="center" wrapText="1"/>
    </xf>
    <xf numFmtId="0" fontId="13" fillId="12" borderId="24" xfId="0" applyFont="1" applyFill="1" applyBorder="1" applyAlignment="1">
      <alignment horizontal="center" vertical="center" wrapText="1"/>
    </xf>
    <xf numFmtId="6" fontId="32" fillId="0" borderId="24" xfId="0" applyNumberFormat="1" applyFont="1" applyBorder="1" applyAlignment="1">
      <alignment horizontal="center" vertical="center" wrapText="1"/>
    </xf>
    <xf numFmtId="6" fontId="32" fillId="0" borderId="26" xfId="0" applyNumberFormat="1" applyFont="1" applyBorder="1" applyAlignment="1">
      <alignment horizontal="center" vertical="center" wrapText="1"/>
    </xf>
    <xf numFmtId="0" fontId="31" fillId="0" borderId="25" xfId="0" applyFont="1" applyBorder="1" applyAlignment="1">
      <alignment horizontal="center" vertical="center" wrapText="1"/>
    </xf>
    <xf numFmtId="6" fontId="31" fillId="0" borderId="25" xfId="0" applyNumberFormat="1" applyFont="1" applyBorder="1" applyAlignment="1">
      <alignment horizontal="center" vertical="center" wrapText="1"/>
    </xf>
    <xf numFmtId="166" fontId="32" fillId="0" borderId="24" xfId="0" applyNumberFormat="1" applyFont="1" applyBorder="1" applyAlignment="1">
      <alignment horizontal="center" vertical="center" wrapText="1"/>
    </xf>
    <xf numFmtId="0" fontId="32" fillId="0" borderId="25" xfId="0" applyFont="1" applyBorder="1" applyAlignment="1">
      <alignment horizontal="center" vertical="center" wrapText="1"/>
    </xf>
    <xf numFmtId="0" fontId="32" fillId="0" borderId="26" xfId="0" applyFont="1" applyBorder="1" applyAlignment="1">
      <alignment horizontal="center" vertical="center" wrapText="1"/>
    </xf>
    <xf numFmtId="0" fontId="17" fillId="15" borderId="31" xfId="0" applyFont="1" applyFill="1" applyBorder="1" applyAlignment="1">
      <alignment vertical="top" wrapText="1"/>
    </xf>
    <xf numFmtId="0" fontId="17" fillId="15" borderId="0" xfId="0" applyFont="1" applyFill="1" applyAlignment="1">
      <alignment vertical="top" wrapText="1"/>
    </xf>
    <xf numFmtId="0" fontId="17" fillId="15" borderId="28" xfId="0" applyFont="1" applyFill="1" applyBorder="1" applyAlignment="1">
      <alignment vertical="top" wrapText="1"/>
    </xf>
    <xf numFmtId="0" fontId="17" fillId="15" borderId="32" xfId="0" applyFont="1" applyFill="1" applyBorder="1" applyAlignment="1">
      <alignment vertical="top" wrapText="1"/>
    </xf>
    <xf numFmtId="0" fontId="17" fillId="15" borderId="33" xfId="0" applyFont="1" applyFill="1" applyBorder="1" applyAlignment="1">
      <alignment vertical="top" wrapText="1"/>
    </xf>
    <xf numFmtId="0" fontId="17" fillId="15" borderId="30" xfId="0" applyFont="1" applyFill="1" applyBorder="1" applyAlignment="1">
      <alignment vertical="top" wrapText="1"/>
    </xf>
    <xf numFmtId="0" fontId="17" fillId="15" borderId="29" xfId="0" applyFont="1" applyFill="1" applyBorder="1" applyAlignment="1">
      <alignment vertical="top" wrapText="1"/>
    </xf>
    <xf numFmtId="0" fontId="13" fillId="12" borderId="31" xfId="0" applyFont="1" applyFill="1"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14" fillId="14" borderId="1" xfId="0" applyFont="1" applyFill="1" applyBorder="1" applyAlignment="1">
      <alignment vertical="top" wrapText="1"/>
    </xf>
    <xf numFmtId="0" fontId="14" fillId="14" borderId="3" xfId="0" applyFont="1" applyFill="1" applyBorder="1" applyAlignment="1">
      <alignment vertical="top" wrapText="1"/>
    </xf>
    <xf numFmtId="0" fontId="0" fillId="0" borderId="5" xfId="0" applyBorder="1" applyAlignment="1">
      <alignment vertical="top" wrapText="1"/>
    </xf>
    <xf numFmtId="0" fontId="14" fillId="13" borderId="24" xfId="0" applyFont="1" applyFill="1" applyBorder="1" applyAlignment="1">
      <alignment vertical="top" wrapText="1"/>
    </xf>
    <xf numFmtId="0" fontId="14" fillId="13" borderId="25" xfId="0" applyFont="1" applyFill="1" applyBorder="1" applyAlignment="1">
      <alignment vertical="top" wrapText="1"/>
    </xf>
    <xf numFmtId="0" fontId="0" fillId="0" borderId="26" xfId="0" applyBorder="1" applyAlignment="1">
      <alignment vertical="top" wrapText="1"/>
    </xf>
    <xf numFmtId="0" fontId="14" fillId="13" borderId="26" xfId="0" applyFont="1" applyFill="1" applyBorder="1" applyAlignment="1">
      <alignment vertical="top" wrapText="1"/>
    </xf>
    <xf numFmtId="0" fontId="2" fillId="18" borderId="0" xfId="0" applyFont="1" applyFill="1"/>
    <xf numFmtId="0" fontId="0" fillId="18" borderId="0" xfId="0" applyFill="1" applyAlignment="1">
      <alignment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CC99FF"/>
      <color rgb="FFFF6699"/>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microsoft.com/office/2017/10/relationships/person" Target="persons/perso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317356771727439"/>
          <c:y val="0.18493420149340434"/>
          <c:w val="0.42259531384711635"/>
          <c:h val="0.7312334315558231"/>
        </c:manualLayout>
      </c:layout>
      <c:pieChart>
        <c:varyColors val="1"/>
        <c:ser>
          <c:idx val="0"/>
          <c:order val="0"/>
          <c:tx>
            <c:strRef>
              <c:f>[1]Sheet1!$A$5</c:f>
              <c:strCache>
                <c:ptCount val="1"/>
                <c:pt idx="0">
                  <c:v>Finland</c:v>
                </c:pt>
              </c:strCache>
            </c:strRef>
          </c:tx>
          <c:spPr>
            <a:solidFill>
              <a:srgbClr val="C00000"/>
            </a:solidFill>
            <a:ln>
              <a:solidFill>
                <a:srgbClr val="C00000"/>
              </a:solidFill>
            </a:ln>
          </c:spPr>
          <c:dPt>
            <c:idx val="0"/>
            <c:bubble3D val="0"/>
            <c:spPr>
              <a:solidFill>
                <a:srgbClr val="C00000"/>
              </a:solidFill>
              <a:ln w="19050">
                <a:solidFill>
                  <a:srgbClr val="C00000"/>
                </a:solidFill>
              </a:ln>
              <a:effectLst/>
            </c:spPr>
            <c:extLst>
              <c:ext xmlns:c16="http://schemas.microsoft.com/office/drawing/2014/chart" uri="{C3380CC4-5D6E-409C-BE32-E72D297353CC}">
                <c16:uniqueId val="{00000001-9A63-4755-9273-5D675D086529}"/>
              </c:ext>
            </c:extLst>
          </c:dPt>
          <c:dPt>
            <c:idx val="1"/>
            <c:bubble3D val="0"/>
            <c:spPr>
              <a:solidFill>
                <a:srgbClr val="7030A0"/>
              </a:solidFill>
              <a:ln w="19050">
                <a:solidFill>
                  <a:srgbClr val="C00000"/>
                </a:solidFill>
              </a:ln>
              <a:effectLst/>
            </c:spPr>
            <c:extLst>
              <c:ext xmlns:c16="http://schemas.microsoft.com/office/drawing/2014/chart" uri="{C3380CC4-5D6E-409C-BE32-E72D297353CC}">
                <c16:uniqueId val="{00000003-9A63-4755-9273-5D675D086529}"/>
              </c:ext>
            </c:extLst>
          </c:dPt>
          <c:dPt>
            <c:idx val="2"/>
            <c:bubble3D val="0"/>
            <c:spPr>
              <a:solidFill>
                <a:srgbClr val="C00000"/>
              </a:solidFill>
              <a:ln w="19050">
                <a:solidFill>
                  <a:srgbClr val="C00000"/>
                </a:solidFill>
              </a:ln>
              <a:effectLst/>
            </c:spPr>
            <c:extLst>
              <c:ext xmlns:c16="http://schemas.microsoft.com/office/drawing/2014/chart" uri="{C3380CC4-5D6E-409C-BE32-E72D297353CC}">
                <c16:uniqueId val="{00000005-9A63-4755-9273-5D675D086529}"/>
              </c:ext>
            </c:extLst>
          </c:dPt>
          <c:val>
            <c:numRef>
              <c:f>([1]Sheet1!$B$5:$C$5,[1]Sheet1!$F$5)</c:f>
              <c:numCache>
                <c:formatCode>General</c:formatCode>
                <c:ptCount val="3"/>
                <c:pt idx="0">
                  <c:v>6520000</c:v>
                </c:pt>
                <c:pt idx="1">
                  <c:v>85726</c:v>
                </c:pt>
                <c:pt idx="2">
                  <c:v>0</c:v>
                </c:pt>
              </c:numCache>
            </c:numRef>
          </c:val>
          <c:extLst>
            <c:ext xmlns:c16="http://schemas.microsoft.com/office/drawing/2014/chart" uri="{C3380CC4-5D6E-409C-BE32-E72D297353CC}">
              <c16:uniqueId val="{00000006-9A63-4755-9273-5D675D08652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'Graphs to include'!$A$7</c:f>
              <c:strCache>
                <c:ptCount val="1"/>
                <c:pt idx="0">
                  <c:v>YOUR Jurisdiction-   IP-ONLY</c:v>
                </c:pt>
              </c:strCache>
            </c:strRef>
          </c:tx>
          <c:spPr>
            <a:solidFill>
              <a:schemeClr val="accent2"/>
            </a:solidFill>
            <a:ln>
              <a:noFill/>
            </a:ln>
            <a:effectLst/>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71CA-4319-ACE2-8D7F126F32EB}"/>
              </c:ext>
            </c:extLst>
          </c:dPt>
          <c:val>
            <c:numRef>
              <c:f>'Graphs to include'!$B$7:$C$7</c:f>
              <c:numCache>
                <c:formatCode>_("$"* #,##0.00_);_("$"* \(#,##0.00\);_("$"* "-"??_);_(@_)</c:formatCode>
                <c:ptCount val="2"/>
                <c:pt idx="0">
                  <c:v>13625649</c:v>
                </c:pt>
                <c:pt idx="1">
                  <c:v>46416</c:v>
                </c:pt>
              </c:numCache>
            </c:numRef>
          </c:val>
          <c:extLst>
            <c:ext xmlns:c16="http://schemas.microsoft.com/office/drawing/2014/chart" uri="{C3380CC4-5D6E-409C-BE32-E72D297353CC}">
              <c16:uniqueId val="{00000000-71CA-4319-ACE2-8D7F126F32EB}"/>
            </c:ext>
          </c:extLst>
        </c:ser>
        <c:dLbls>
          <c:showLegendKey val="0"/>
          <c:showVal val="0"/>
          <c:showCatName val="0"/>
          <c:showSerName val="0"/>
          <c:showPercent val="0"/>
          <c:showBubbleSize val="0"/>
        </c:dLbls>
        <c:gapWidth val="219"/>
        <c:overlap val="-27"/>
        <c:axId val="930449656"/>
        <c:axId val="930452280"/>
      </c:barChart>
      <c:catAx>
        <c:axId val="930449656"/>
        <c:scaling>
          <c:orientation val="minMax"/>
        </c:scaling>
        <c:delete val="1"/>
        <c:axPos val="b"/>
        <c:numFmt formatCode="General" sourceLinked="1"/>
        <c:majorTickMark val="out"/>
        <c:minorTickMark val="none"/>
        <c:tickLblPos val="nextTo"/>
        <c:crossAx val="930452280"/>
        <c:crosses val="autoZero"/>
        <c:auto val="1"/>
        <c:lblAlgn val="ctr"/>
        <c:lblOffset val="100"/>
        <c:noMultiLvlLbl val="0"/>
      </c:catAx>
      <c:valAx>
        <c:axId val="93045228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04496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Comparison of costs (Euros</a:t>
            </a:r>
            <a:r>
              <a:rPr lang="en-US" baseline="0"/>
              <a:t>) in </a:t>
            </a:r>
            <a:r>
              <a:rPr lang="en-US"/>
              <a:t>Finland</a:t>
            </a:r>
          </a:p>
          <a:p>
            <a:pPr>
              <a:defRPr/>
            </a:pPr>
            <a:r>
              <a:rPr lang="en-US"/>
              <a:t>(2015)</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[1]Sheet1!$A$5</c:f>
              <c:strCache>
                <c:ptCount val="1"/>
                <c:pt idx="0">
                  <c:v>Finland</c:v>
                </c:pt>
              </c:strCache>
            </c:strRef>
          </c:tx>
          <c:spPr>
            <a:solidFill>
              <a:srgbClr val="7030A0"/>
            </a:solidFill>
            <a:ln>
              <a:noFill/>
            </a:ln>
            <a:effectLst/>
          </c:spPr>
          <c:invertIfNegative val="0"/>
          <c:dPt>
            <c:idx val="0"/>
            <c:invertIfNegative val="0"/>
            <c:bubble3D val="0"/>
            <c:spPr>
              <a:solidFill>
                <a:srgbClr val="C00000"/>
              </a:solidFill>
              <a:ln>
                <a:noFill/>
              </a:ln>
              <a:effectLst/>
            </c:spPr>
            <c:extLst>
              <c:ext xmlns:c16="http://schemas.microsoft.com/office/drawing/2014/chart" uri="{C3380CC4-5D6E-409C-BE32-E72D297353CC}">
                <c16:uniqueId val="{00000001-2E31-4794-95BE-26586731C9C4}"/>
              </c:ext>
            </c:extLst>
          </c:dPt>
          <c:val>
            <c:numRef>
              <c:f>[1]Sheet1!$B$5:$C$5</c:f>
              <c:numCache>
                <c:formatCode>General</c:formatCode>
                <c:ptCount val="2"/>
                <c:pt idx="0">
                  <c:v>6520000</c:v>
                </c:pt>
                <c:pt idx="1">
                  <c:v>85726</c:v>
                </c:pt>
              </c:numCache>
            </c:numRef>
          </c:val>
          <c:extLst>
            <c:ext xmlns:c16="http://schemas.microsoft.com/office/drawing/2014/chart" uri="{C3380CC4-5D6E-409C-BE32-E72D297353CC}">
              <c16:uniqueId val="{00000002-2E31-4794-95BE-26586731C9C4}"/>
            </c:ext>
          </c:extLst>
        </c:ser>
        <c:dLbls>
          <c:showLegendKey val="0"/>
          <c:showVal val="0"/>
          <c:showCatName val="0"/>
          <c:showSerName val="0"/>
          <c:showPercent val="0"/>
          <c:showBubbleSize val="0"/>
        </c:dLbls>
        <c:gapWidth val="219"/>
        <c:overlap val="-27"/>
        <c:axId val="622389392"/>
        <c:axId val="622390048"/>
      </c:barChart>
      <c:catAx>
        <c:axId val="622389392"/>
        <c:scaling>
          <c:orientation val="minMax"/>
        </c:scaling>
        <c:delete val="1"/>
        <c:axPos val="b"/>
        <c:numFmt formatCode="General" sourceLinked="1"/>
        <c:majorTickMark val="none"/>
        <c:minorTickMark val="none"/>
        <c:tickLblPos val="nextTo"/>
        <c:crossAx val="622390048"/>
        <c:crosses val="autoZero"/>
        <c:auto val="1"/>
        <c:lblAlgn val="ctr"/>
        <c:lblOffset val="100"/>
        <c:noMultiLvlLbl val="0"/>
      </c:catAx>
      <c:valAx>
        <c:axId val="622390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23893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7960318165055126"/>
          <c:y val="0.19371601208459213"/>
          <c:w val="0.49497817275085731"/>
          <c:h val="0.58876132930513592"/>
        </c:manualLayout>
      </c:layout>
      <c:pieChart>
        <c:varyColors val="1"/>
        <c:ser>
          <c:idx val="0"/>
          <c:order val="0"/>
          <c:tx>
            <c:strRef>
              <c:f>[1]Sheet1!$A$6</c:f>
              <c:strCache>
                <c:ptCount val="1"/>
                <c:pt idx="0">
                  <c:v>United Kingdom</c:v>
                </c:pt>
              </c:strCache>
            </c:strRef>
          </c:tx>
          <c:spPr>
            <a:solidFill>
              <a:srgbClr val="7030A0"/>
            </a:solidFill>
            <a:ln>
              <a:solidFill>
                <a:srgbClr val="7030A0"/>
              </a:solidFill>
            </a:ln>
          </c:spPr>
          <c:dPt>
            <c:idx val="0"/>
            <c:bubble3D val="0"/>
            <c:spPr>
              <a:solidFill>
                <a:srgbClr val="C00000"/>
              </a:solidFill>
              <a:ln w="19050">
                <a:solidFill>
                  <a:srgbClr val="C00000"/>
                </a:solidFill>
              </a:ln>
              <a:effectLst/>
            </c:spPr>
            <c:extLst>
              <c:ext xmlns:c16="http://schemas.microsoft.com/office/drawing/2014/chart" uri="{C3380CC4-5D6E-409C-BE32-E72D297353CC}">
                <c16:uniqueId val="{00000001-F825-44AD-925E-0D5443AB2C84}"/>
              </c:ext>
            </c:extLst>
          </c:dPt>
          <c:dPt>
            <c:idx val="1"/>
            <c:bubble3D val="0"/>
            <c:spPr>
              <a:solidFill>
                <a:srgbClr val="7030A0"/>
              </a:solidFill>
              <a:ln w="19050">
                <a:solidFill>
                  <a:srgbClr val="7030A0"/>
                </a:solidFill>
              </a:ln>
              <a:effectLst/>
            </c:spPr>
            <c:extLst>
              <c:ext xmlns:c16="http://schemas.microsoft.com/office/drawing/2014/chart" uri="{C3380CC4-5D6E-409C-BE32-E72D297353CC}">
                <c16:uniqueId val="{00000003-F825-44AD-925E-0D5443AB2C84}"/>
              </c:ext>
            </c:extLst>
          </c:dPt>
          <c:val>
            <c:numRef>
              <c:f>[1]Sheet1!$B$6:$C$6</c:f>
              <c:numCache>
                <c:formatCode>General</c:formatCode>
                <c:ptCount val="2"/>
                <c:pt idx="0">
                  <c:v>1700000000</c:v>
                </c:pt>
                <c:pt idx="1">
                  <c:v>9700000</c:v>
                </c:pt>
              </c:numCache>
            </c:numRef>
          </c:val>
          <c:extLst>
            <c:ext xmlns:c16="http://schemas.microsoft.com/office/drawing/2014/chart" uri="{C3380CC4-5D6E-409C-BE32-E72D297353CC}">
              <c16:uniqueId val="{00000004-F825-44AD-925E-0D5443AB2C84}"/>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Comparison of costs (GBP) in United Kingdom</a:t>
            </a:r>
          </a:p>
          <a:p>
            <a:pPr>
              <a:defRPr/>
            </a:pPr>
            <a:r>
              <a:rPr lang="en-US"/>
              <a:t>(2015)</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[1]Sheet1!$A$6</c:f>
              <c:strCache>
                <c:ptCount val="1"/>
                <c:pt idx="0">
                  <c:v>United Kingdom</c:v>
                </c:pt>
              </c:strCache>
            </c:strRef>
          </c:tx>
          <c:spPr>
            <a:solidFill>
              <a:srgbClr val="7030A0"/>
            </a:solidFill>
            <a:ln>
              <a:noFill/>
            </a:ln>
            <a:effectLst/>
          </c:spPr>
          <c:invertIfNegative val="0"/>
          <c:dPt>
            <c:idx val="0"/>
            <c:invertIfNegative val="0"/>
            <c:bubble3D val="0"/>
            <c:spPr>
              <a:solidFill>
                <a:srgbClr val="C00000"/>
              </a:solidFill>
              <a:ln>
                <a:noFill/>
              </a:ln>
              <a:effectLst/>
            </c:spPr>
            <c:extLst>
              <c:ext xmlns:c16="http://schemas.microsoft.com/office/drawing/2014/chart" uri="{C3380CC4-5D6E-409C-BE32-E72D297353CC}">
                <c16:uniqueId val="{00000001-31AE-47EE-B0F6-BEC6FAD97146}"/>
              </c:ext>
            </c:extLst>
          </c:dPt>
          <c:val>
            <c:numRef>
              <c:f>[1]Sheet1!$B$6:$C$6</c:f>
              <c:numCache>
                <c:formatCode>General</c:formatCode>
                <c:ptCount val="2"/>
                <c:pt idx="0">
                  <c:v>1700000000</c:v>
                </c:pt>
                <c:pt idx="1">
                  <c:v>9700000</c:v>
                </c:pt>
              </c:numCache>
            </c:numRef>
          </c:val>
          <c:extLst>
            <c:ext xmlns:c16="http://schemas.microsoft.com/office/drawing/2014/chart" uri="{C3380CC4-5D6E-409C-BE32-E72D297353CC}">
              <c16:uniqueId val="{00000002-31AE-47EE-B0F6-BEC6FAD97146}"/>
            </c:ext>
          </c:extLst>
        </c:ser>
        <c:dLbls>
          <c:showLegendKey val="0"/>
          <c:showVal val="0"/>
          <c:showCatName val="0"/>
          <c:showSerName val="0"/>
          <c:showPercent val="0"/>
          <c:showBubbleSize val="0"/>
        </c:dLbls>
        <c:gapWidth val="219"/>
        <c:overlap val="-27"/>
        <c:axId val="622400544"/>
        <c:axId val="622403168"/>
      </c:barChart>
      <c:catAx>
        <c:axId val="622400544"/>
        <c:scaling>
          <c:orientation val="minMax"/>
        </c:scaling>
        <c:delete val="1"/>
        <c:axPos val="b"/>
        <c:numFmt formatCode="General" sourceLinked="1"/>
        <c:majorTickMark val="none"/>
        <c:minorTickMark val="none"/>
        <c:tickLblPos val="nextTo"/>
        <c:crossAx val="622403168"/>
        <c:crosses val="autoZero"/>
        <c:auto val="1"/>
        <c:lblAlgn val="ctr"/>
        <c:lblOffset val="100"/>
        <c:noMultiLvlLbl val="0"/>
      </c:catAx>
      <c:valAx>
        <c:axId val="6224031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2400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0836179017416548"/>
          <c:y val="0.13861792333742504"/>
          <c:w val="0.51608645172212786"/>
          <c:h val="0.77846008862423499"/>
        </c:manualLayout>
      </c:layout>
      <c:pieChart>
        <c:varyColors val="1"/>
        <c:ser>
          <c:idx val="0"/>
          <c:order val="0"/>
          <c:tx>
            <c:strRef>
              <c:f>[1]Sheet1!$A$7</c:f>
              <c:strCache>
                <c:ptCount val="1"/>
                <c:pt idx="0">
                  <c:v>BC, Canada</c:v>
                </c:pt>
              </c:strCache>
            </c:strRef>
          </c:tx>
          <c:spPr>
            <a:solidFill>
              <a:srgbClr val="7030A0"/>
            </a:solidFill>
            <a:ln>
              <a:noFill/>
            </a:ln>
          </c:spPr>
          <c:dPt>
            <c:idx val="0"/>
            <c:bubble3D val="0"/>
            <c:spPr>
              <a:solidFill>
                <a:srgbClr val="C00000"/>
              </a:solidFill>
              <a:ln w="19050">
                <a:noFill/>
              </a:ln>
              <a:effectLst/>
            </c:spPr>
            <c:extLst>
              <c:ext xmlns:c16="http://schemas.microsoft.com/office/drawing/2014/chart" uri="{C3380CC4-5D6E-409C-BE32-E72D297353CC}">
                <c16:uniqueId val="{00000001-90B7-478B-86C0-8373DFC68B20}"/>
              </c:ext>
            </c:extLst>
          </c:dPt>
          <c:dPt>
            <c:idx val="1"/>
            <c:bubble3D val="0"/>
            <c:spPr>
              <a:solidFill>
                <a:srgbClr val="7030A0"/>
              </a:solidFill>
              <a:ln w="19050">
                <a:noFill/>
              </a:ln>
              <a:effectLst/>
            </c:spPr>
            <c:extLst>
              <c:ext xmlns:c16="http://schemas.microsoft.com/office/drawing/2014/chart" uri="{C3380CC4-5D6E-409C-BE32-E72D297353CC}">
                <c16:uniqueId val="{00000003-90B7-478B-86C0-8373DFC68B20}"/>
              </c:ext>
            </c:extLst>
          </c:dPt>
          <c:val>
            <c:numRef>
              <c:f>[1]Sheet1!$B$7:$C$7</c:f>
              <c:numCache>
                <c:formatCode>General</c:formatCode>
                <c:ptCount val="2"/>
                <c:pt idx="0">
                  <c:v>480000000</c:v>
                </c:pt>
                <c:pt idx="1">
                  <c:v>4704000</c:v>
                </c:pt>
              </c:numCache>
            </c:numRef>
          </c:val>
          <c:extLst>
            <c:ext xmlns:c16="http://schemas.microsoft.com/office/drawing/2014/chart" uri="{C3380CC4-5D6E-409C-BE32-E72D297353CC}">
              <c16:uniqueId val="{00000004-90B7-478B-86C0-8373DFC68B2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Comparision</a:t>
            </a:r>
            <a:r>
              <a:rPr lang="en-US" baseline="0"/>
              <a:t> of costs (Cdn) in </a:t>
            </a:r>
            <a:r>
              <a:rPr lang="en-US"/>
              <a:t>Canada</a:t>
            </a:r>
          </a:p>
          <a:p>
            <a:pPr>
              <a:defRPr/>
            </a:pPr>
            <a:r>
              <a:rPr lang="en-US"/>
              <a:t>(2020)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[1]Sheet1!$A$7</c:f>
              <c:strCache>
                <c:ptCount val="1"/>
                <c:pt idx="0">
                  <c:v>BC, Canada</c:v>
                </c:pt>
              </c:strCache>
            </c:strRef>
          </c:tx>
          <c:spPr>
            <a:solidFill>
              <a:srgbClr val="7030A0"/>
            </a:solidFill>
            <a:ln>
              <a:noFill/>
            </a:ln>
            <a:effectLst/>
          </c:spPr>
          <c:invertIfNegative val="0"/>
          <c:dPt>
            <c:idx val="0"/>
            <c:invertIfNegative val="0"/>
            <c:bubble3D val="0"/>
            <c:spPr>
              <a:solidFill>
                <a:srgbClr val="C00000"/>
              </a:solidFill>
              <a:ln>
                <a:noFill/>
              </a:ln>
              <a:effectLst/>
            </c:spPr>
            <c:extLst>
              <c:ext xmlns:c16="http://schemas.microsoft.com/office/drawing/2014/chart" uri="{C3380CC4-5D6E-409C-BE32-E72D297353CC}">
                <c16:uniqueId val="{00000001-9FCC-413E-8039-EB0FA273BDD3}"/>
              </c:ext>
            </c:extLst>
          </c:dPt>
          <c:val>
            <c:numRef>
              <c:f>[1]Sheet1!$B$7:$C$7</c:f>
              <c:numCache>
                <c:formatCode>General</c:formatCode>
                <c:ptCount val="2"/>
                <c:pt idx="0">
                  <c:v>480000000</c:v>
                </c:pt>
                <c:pt idx="1">
                  <c:v>4704000</c:v>
                </c:pt>
              </c:numCache>
            </c:numRef>
          </c:val>
          <c:extLst>
            <c:ext xmlns:c16="http://schemas.microsoft.com/office/drawing/2014/chart" uri="{C3380CC4-5D6E-409C-BE32-E72D297353CC}">
              <c16:uniqueId val="{00000002-9FCC-413E-8039-EB0FA273BDD3}"/>
            </c:ext>
          </c:extLst>
        </c:ser>
        <c:dLbls>
          <c:showLegendKey val="0"/>
          <c:showVal val="0"/>
          <c:showCatName val="0"/>
          <c:showSerName val="0"/>
          <c:showPercent val="0"/>
          <c:showBubbleSize val="0"/>
        </c:dLbls>
        <c:gapWidth val="219"/>
        <c:overlap val="-27"/>
        <c:axId val="622403496"/>
        <c:axId val="622400872"/>
      </c:barChart>
      <c:catAx>
        <c:axId val="622403496"/>
        <c:scaling>
          <c:orientation val="minMax"/>
        </c:scaling>
        <c:delete val="1"/>
        <c:axPos val="b"/>
        <c:numFmt formatCode="General" sourceLinked="1"/>
        <c:majorTickMark val="none"/>
        <c:minorTickMark val="none"/>
        <c:tickLblPos val="nextTo"/>
        <c:crossAx val="622400872"/>
        <c:crosses val="autoZero"/>
        <c:auto val="1"/>
        <c:lblAlgn val="ctr"/>
        <c:lblOffset val="100"/>
        <c:noMultiLvlLbl val="0"/>
      </c:catAx>
      <c:valAx>
        <c:axId val="6224008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24034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'Graphs to include'!$A$7</c:f>
              <c:strCache>
                <c:ptCount val="1"/>
                <c:pt idx="0">
                  <c:v>YOUR Jurisdiction-   IP-ONLY</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CDA-4E88-AC86-6EE1932767F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CDA-4E88-AC86-6EE1932767F2}"/>
              </c:ext>
            </c:extLst>
          </c:dPt>
          <c:val>
            <c:numRef>
              <c:f>'Graphs to include'!$B$7:$C$7</c:f>
              <c:numCache>
                <c:formatCode>_("$"* #,##0.00_);_("$"* \(#,##0.00\);_("$"* "-"??_);_(@_)</c:formatCode>
                <c:ptCount val="2"/>
                <c:pt idx="0">
                  <c:v>13625649</c:v>
                </c:pt>
                <c:pt idx="1">
                  <c:v>46416</c:v>
                </c:pt>
              </c:numCache>
            </c:numRef>
          </c:val>
          <c:extLst>
            <c:ext xmlns:c16="http://schemas.microsoft.com/office/drawing/2014/chart" uri="{C3380CC4-5D6E-409C-BE32-E72D297353CC}">
              <c16:uniqueId val="{00000000-229A-4C70-9B91-6CA4D5A9E2E8}"/>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'Graphs to include'!$A$6</c:f>
              <c:strCache>
                <c:ptCount val="1"/>
                <c:pt idx="0">
                  <c:v>YOUR Jurisdiction-COMBINED IP-OP</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47A-4E99-AD1E-1F3342B78CE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47A-4E99-AD1E-1F3342B78CEF}"/>
              </c:ext>
            </c:extLst>
          </c:dPt>
          <c:val>
            <c:numRef>
              <c:f>'Graphs to include'!$B$6:$C$6</c:f>
              <c:numCache>
                <c:formatCode>_("$"* #,##0.00_);_("$"* \(#,##0.00\);_("$"* "-"??_);_(@_)</c:formatCode>
                <c:ptCount val="2"/>
                <c:pt idx="0">
                  <c:v>13625649</c:v>
                </c:pt>
                <c:pt idx="1">
                  <c:v>146720</c:v>
                </c:pt>
              </c:numCache>
            </c:numRef>
          </c:val>
          <c:extLst>
            <c:ext xmlns:c16="http://schemas.microsoft.com/office/drawing/2014/chart" uri="{C3380CC4-5D6E-409C-BE32-E72D297353CC}">
              <c16:uniqueId val="{00000000-A7A7-44C2-A6A1-EC4F4F65CDB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'Graphs to include'!$A$6</c:f>
              <c:strCache>
                <c:ptCount val="1"/>
                <c:pt idx="0">
                  <c:v>YOUR Jurisdiction-COMBINED IP-OP</c:v>
                </c:pt>
              </c:strCache>
            </c:strRef>
          </c:tx>
          <c:spPr>
            <a:solidFill>
              <a:schemeClr val="accent2"/>
            </a:solidFill>
            <a:ln>
              <a:noFill/>
            </a:ln>
            <a:effectLst/>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87E6-4282-A483-A888716B3436}"/>
              </c:ext>
            </c:extLst>
          </c:dPt>
          <c:val>
            <c:numRef>
              <c:f>'Graphs to include'!$B$6:$C$6</c:f>
              <c:numCache>
                <c:formatCode>_("$"* #,##0.00_);_("$"* \(#,##0.00\);_("$"* "-"??_);_(@_)</c:formatCode>
                <c:ptCount val="2"/>
                <c:pt idx="0">
                  <c:v>13625649</c:v>
                </c:pt>
                <c:pt idx="1">
                  <c:v>146720</c:v>
                </c:pt>
              </c:numCache>
            </c:numRef>
          </c:val>
          <c:extLst>
            <c:ext xmlns:c16="http://schemas.microsoft.com/office/drawing/2014/chart" uri="{C3380CC4-5D6E-409C-BE32-E72D297353CC}">
              <c16:uniqueId val="{00000000-87E6-4282-A483-A888716B3436}"/>
            </c:ext>
          </c:extLst>
        </c:ser>
        <c:dLbls>
          <c:showLegendKey val="0"/>
          <c:showVal val="0"/>
          <c:showCatName val="0"/>
          <c:showSerName val="0"/>
          <c:showPercent val="0"/>
          <c:showBubbleSize val="0"/>
        </c:dLbls>
        <c:gapWidth val="219"/>
        <c:overlap val="-27"/>
        <c:axId val="719098760"/>
        <c:axId val="719099088"/>
      </c:barChart>
      <c:catAx>
        <c:axId val="719098760"/>
        <c:scaling>
          <c:orientation val="minMax"/>
        </c:scaling>
        <c:delete val="1"/>
        <c:axPos val="b"/>
        <c:numFmt formatCode="General" sourceLinked="1"/>
        <c:majorTickMark val="out"/>
        <c:minorTickMark val="none"/>
        <c:tickLblPos val="nextTo"/>
        <c:crossAx val="719099088"/>
        <c:crosses val="autoZero"/>
        <c:auto val="1"/>
        <c:lblAlgn val="ctr"/>
        <c:lblOffset val="100"/>
        <c:noMultiLvlLbl val="0"/>
      </c:catAx>
      <c:valAx>
        <c:axId val="71909908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90987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228600</xdr:colOff>
      <xdr:row>2</xdr:row>
      <xdr:rowOff>1</xdr:rowOff>
    </xdr:from>
    <xdr:to>
      <xdr:col>15</xdr:col>
      <xdr:colOff>489857</xdr:colOff>
      <xdr:row>3</xdr:row>
      <xdr:rowOff>0</xdr:rowOff>
    </xdr:to>
    <xdr:graphicFrame macro="">
      <xdr:nvGraphicFramePr>
        <xdr:cNvPr id="19" name="Chart 18">
          <a:extLst>
            <a:ext uri="{FF2B5EF4-FFF2-40B4-BE49-F238E27FC236}">
              <a16:creationId xmlns:a16="http://schemas.microsoft.com/office/drawing/2014/main" id="{B3B4760F-8CBD-4B76-AB6A-8C230C7DC1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222250</xdr:colOff>
      <xdr:row>2</xdr:row>
      <xdr:rowOff>0</xdr:rowOff>
    </xdr:from>
    <xdr:to>
      <xdr:col>23</xdr:col>
      <xdr:colOff>329746</xdr:colOff>
      <xdr:row>2</xdr:row>
      <xdr:rowOff>2266950</xdr:rowOff>
    </xdr:to>
    <xdr:graphicFrame macro="">
      <xdr:nvGraphicFramePr>
        <xdr:cNvPr id="20" name="Chart 19">
          <a:extLst>
            <a:ext uri="{FF2B5EF4-FFF2-40B4-BE49-F238E27FC236}">
              <a16:creationId xmlns:a16="http://schemas.microsoft.com/office/drawing/2014/main" id="{513F96C4-2368-45F2-920F-0B1DC7A00E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238125</xdr:colOff>
      <xdr:row>3</xdr:row>
      <xdr:rowOff>85725</xdr:rowOff>
    </xdr:from>
    <xdr:to>
      <xdr:col>15</xdr:col>
      <xdr:colOff>530678</xdr:colOff>
      <xdr:row>3</xdr:row>
      <xdr:rowOff>3238500</xdr:rowOff>
    </xdr:to>
    <xdr:graphicFrame macro="">
      <xdr:nvGraphicFramePr>
        <xdr:cNvPr id="21" name="Chart 20">
          <a:extLst>
            <a:ext uri="{FF2B5EF4-FFF2-40B4-BE49-F238E27FC236}">
              <a16:creationId xmlns:a16="http://schemas.microsoft.com/office/drawing/2014/main" id="{AD23E889-1C71-4EF0-8C94-F783BD24EC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234950</xdr:colOff>
      <xdr:row>3</xdr:row>
      <xdr:rowOff>69850</xdr:rowOff>
    </xdr:from>
    <xdr:to>
      <xdr:col>23</xdr:col>
      <xdr:colOff>438150</xdr:colOff>
      <xdr:row>3</xdr:row>
      <xdr:rowOff>3117850</xdr:rowOff>
    </xdr:to>
    <xdr:graphicFrame macro="">
      <xdr:nvGraphicFramePr>
        <xdr:cNvPr id="23" name="Chart 22">
          <a:extLst>
            <a:ext uri="{FF2B5EF4-FFF2-40B4-BE49-F238E27FC236}">
              <a16:creationId xmlns:a16="http://schemas.microsoft.com/office/drawing/2014/main" id="{DFCB5E8B-3B94-462C-90E0-2E12063176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237672</xdr:colOff>
      <xdr:row>4</xdr:row>
      <xdr:rowOff>163286</xdr:rowOff>
    </xdr:from>
    <xdr:to>
      <xdr:col>15</xdr:col>
      <xdr:colOff>598715</xdr:colOff>
      <xdr:row>4</xdr:row>
      <xdr:rowOff>3173639</xdr:rowOff>
    </xdr:to>
    <xdr:graphicFrame macro="">
      <xdr:nvGraphicFramePr>
        <xdr:cNvPr id="24" name="Chart 23">
          <a:extLst>
            <a:ext uri="{FF2B5EF4-FFF2-40B4-BE49-F238E27FC236}">
              <a16:creationId xmlns:a16="http://schemas.microsoft.com/office/drawing/2014/main" id="{DF9491A8-76F8-4B5F-B928-96A2885C7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217714</xdr:colOff>
      <xdr:row>4</xdr:row>
      <xdr:rowOff>49894</xdr:rowOff>
    </xdr:from>
    <xdr:to>
      <xdr:col>24</xdr:col>
      <xdr:colOff>201385</xdr:colOff>
      <xdr:row>4</xdr:row>
      <xdr:rowOff>3194504</xdr:rowOff>
    </xdr:to>
    <xdr:graphicFrame macro="">
      <xdr:nvGraphicFramePr>
        <xdr:cNvPr id="25" name="Chart 24">
          <a:extLst>
            <a:ext uri="{FF2B5EF4-FFF2-40B4-BE49-F238E27FC236}">
              <a16:creationId xmlns:a16="http://schemas.microsoft.com/office/drawing/2014/main" id="{E4AB7058-1987-4D43-B2FA-C18A97475E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oneCellAnchor>
    <xdr:from>
      <xdr:col>20</xdr:col>
      <xdr:colOff>524782</xdr:colOff>
      <xdr:row>4</xdr:row>
      <xdr:rowOff>831396</xdr:rowOff>
    </xdr:from>
    <xdr:ext cx="1790700" cy="1595309"/>
    <xdr:sp macro="" textlink="">
      <xdr:nvSpPr>
        <xdr:cNvPr id="26" name="TextBox 25">
          <a:extLst>
            <a:ext uri="{FF2B5EF4-FFF2-40B4-BE49-F238E27FC236}">
              <a16:creationId xmlns:a16="http://schemas.microsoft.com/office/drawing/2014/main" id="{4A8E1020-1CDF-4972-BA30-8161E533BB09}"/>
            </a:ext>
          </a:extLst>
        </xdr:cNvPr>
        <xdr:cNvSpPr txBox="1"/>
      </xdr:nvSpPr>
      <xdr:spPr>
        <a:xfrm>
          <a:off x="14336032" y="6804932"/>
          <a:ext cx="1790700" cy="159530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CA" sz="1200" b="1">
              <a:solidFill>
                <a:schemeClr val="tx1"/>
              </a:solidFill>
              <a:latin typeface="+mn-lt"/>
              <a:ea typeface="+mn-ea"/>
              <a:cs typeface="+mn-cs"/>
            </a:rPr>
            <a:t>As per OC's projections, offering FLS for all fracture patients in Canada would cost only 0.85% of the current costs expended for all osteoporotioc energy fractures.</a:t>
          </a:r>
          <a:endParaRPr lang="en-CA" sz="1200" b="1"/>
        </a:p>
      </xdr:txBody>
    </xdr:sp>
    <xdr:clientData/>
  </xdr:oneCellAnchor>
  <xdr:oneCellAnchor>
    <xdr:from>
      <xdr:col>20</xdr:col>
      <xdr:colOff>163285</xdr:colOff>
      <xdr:row>2</xdr:row>
      <xdr:rowOff>530679</xdr:rowOff>
    </xdr:from>
    <xdr:ext cx="2009775" cy="1407308"/>
    <xdr:sp macro="" textlink="">
      <xdr:nvSpPr>
        <xdr:cNvPr id="28" name="TextBox 27">
          <a:extLst>
            <a:ext uri="{FF2B5EF4-FFF2-40B4-BE49-F238E27FC236}">
              <a16:creationId xmlns:a16="http://schemas.microsoft.com/office/drawing/2014/main" id="{DED7061E-E1B5-469F-B8AF-3D0796B2F7B5}"/>
            </a:ext>
          </a:extLst>
        </xdr:cNvPr>
        <xdr:cNvSpPr txBox="1"/>
      </xdr:nvSpPr>
      <xdr:spPr>
        <a:xfrm>
          <a:off x="15484928" y="1306286"/>
          <a:ext cx="2009775" cy="140730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CA" sz="1400" b="1"/>
            <a:t>The total</a:t>
          </a:r>
          <a:r>
            <a:rPr lang="en-CA" sz="1400" b="1" baseline="0"/>
            <a:t> direct costs </a:t>
          </a:r>
        </a:p>
        <a:p>
          <a:r>
            <a:rPr lang="en-CA" sz="1400" b="1" baseline="0"/>
            <a:t>for FLS in the study year</a:t>
          </a:r>
        </a:p>
        <a:p>
          <a:r>
            <a:rPr lang="en-CA" sz="1400" b="1" baseline="0"/>
            <a:t> represent only 1.3 % of the annual total costs of all osteoporotic fractures.</a:t>
          </a:r>
          <a:endParaRPr lang="en-CA" sz="1400" b="1"/>
        </a:p>
      </xdr:txBody>
    </xdr:sp>
    <xdr:clientData/>
  </xdr:oneCellAnchor>
  <xdr:oneCellAnchor>
    <xdr:from>
      <xdr:col>17</xdr:col>
      <xdr:colOff>244928</xdr:colOff>
      <xdr:row>3</xdr:row>
      <xdr:rowOff>2939142</xdr:rowOff>
    </xdr:from>
    <xdr:ext cx="4343400" cy="248851"/>
    <xdr:sp macro="" textlink="">
      <xdr:nvSpPr>
        <xdr:cNvPr id="30" name="TextBox 29">
          <a:extLst>
            <a:ext uri="{FF2B5EF4-FFF2-40B4-BE49-F238E27FC236}">
              <a16:creationId xmlns:a16="http://schemas.microsoft.com/office/drawing/2014/main" id="{99B7A3F5-2D51-4D7F-828D-7FAD7EE43138}"/>
            </a:ext>
          </a:extLst>
        </xdr:cNvPr>
        <xdr:cNvSpPr txBox="1"/>
      </xdr:nvSpPr>
      <xdr:spPr>
        <a:xfrm>
          <a:off x="12219214" y="5565321"/>
          <a:ext cx="4343400" cy="248851"/>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CA" sz="1000" b="0" i="0" u="none" strike="noStrike" kern="0" cap="none" spc="0" normalizeH="0" baseline="0" noProof="0">
              <a:ln>
                <a:noFill/>
              </a:ln>
              <a:solidFill>
                <a:sysClr val="windowText" lastClr="000000"/>
              </a:solidFill>
              <a:effectLst/>
              <a:uLnTx/>
              <a:uFillTx/>
              <a:latin typeface="Calibri" panose="020F0502020204030204"/>
              <a:ea typeface="+mn-ea"/>
              <a:cs typeface="+mn-cs"/>
            </a:rPr>
            <a:t>Total cost of all osteoporotic fractures              Total direct costs of FLS</a:t>
          </a:r>
        </a:p>
      </xdr:txBody>
    </xdr:sp>
    <xdr:clientData/>
  </xdr:oneCellAnchor>
  <xdr:oneCellAnchor>
    <xdr:from>
      <xdr:col>17</xdr:col>
      <xdr:colOff>539749</xdr:colOff>
      <xdr:row>4</xdr:row>
      <xdr:rowOff>3009901</xdr:rowOff>
    </xdr:from>
    <xdr:ext cx="4343400" cy="248851"/>
    <xdr:sp macro="" textlink="">
      <xdr:nvSpPr>
        <xdr:cNvPr id="32" name="TextBox 31">
          <a:extLst>
            <a:ext uri="{FF2B5EF4-FFF2-40B4-BE49-F238E27FC236}">
              <a16:creationId xmlns:a16="http://schemas.microsoft.com/office/drawing/2014/main" id="{2DFD0A89-6B14-420D-8ECA-A02CB0B2A11A}"/>
            </a:ext>
          </a:extLst>
        </xdr:cNvPr>
        <xdr:cNvSpPr txBox="1"/>
      </xdr:nvSpPr>
      <xdr:spPr>
        <a:xfrm>
          <a:off x="14024428" y="9405258"/>
          <a:ext cx="4343400" cy="248851"/>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CA" sz="1000" b="0" i="0" u="none" strike="noStrike" kern="0" cap="none" spc="0" normalizeH="0" baseline="0" noProof="0">
              <a:ln>
                <a:noFill/>
              </a:ln>
              <a:solidFill>
                <a:sysClr val="windowText" lastClr="000000"/>
              </a:solidFill>
              <a:effectLst/>
              <a:uLnTx/>
              <a:uFillTx/>
              <a:latin typeface="Calibri" panose="020F0502020204030204"/>
              <a:ea typeface="+mn-ea"/>
              <a:cs typeface="+mn-cs"/>
            </a:rPr>
            <a:t>Total cost of all osteoporotic fractures              Total direct costs of FLS</a:t>
          </a:r>
        </a:p>
      </xdr:txBody>
    </xdr:sp>
    <xdr:clientData/>
  </xdr:oneCellAnchor>
  <xdr:oneCellAnchor>
    <xdr:from>
      <xdr:col>17</xdr:col>
      <xdr:colOff>286656</xdr:colOff>
      <xdr:row>2</xdr:row>
      <xdr:rowOff>2091871</xdr:rowOff>
    </xdr:from>
    <xdr:ext cx="4343400" cy="248851"/>
    <xdr:sp macro="" textlink="">
      <xdr:nvSpPr>
        <xdr:cNvPr id="34" name="TextBox 33">
          <a:extLst>
            <a:ext uri="{FF2B5EF4-FFF2-40B4-BE49-F238E27FC236}">
              <a16:creationId xmlns:a16="http://schemas.microsoft.com/office/drawing/2014/main" id="{961B1810-6BFD-4351-ADEC-6625B28EAD61}"/>
            </a:ext>
          </a:extLst>
        </xdr:cNvPr>
        <xdr:cNvSpPr txBox="1"/>
      </xdr:nvSpPr>
      <xdr:spPr>
        <a:xfrm>
          <a:off x="12206513" y="2454728"/>
          <a:ext cx="4343400" cy="248851"/>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CA" sz="1000" b="0" i="0" u="none" strike="noStrike" kern="0" cap="none" spc="0" normalizeH="0" baseline="0" noProof="0">
              <a:ln>
                <a:noFill/>
              </a:ln>
              <a:solidFill>
                <a:sysClr val="windowText" lastClr="000000"/>
              </a:solidFill>
              <a:effectLst/>
              <a:uLnTx/>
              <a:uFillTx/>
              <a:latin typeface="Calibri" panose="020F0502020204030204"/>
              <a:ea typeface="+mn-ea"/>
              <a:cs typeface="+mn-cs"/>
            </a:rPr>
            <a:t>Total cost of all osteoporotic fractures              Total direct costs of FLS</a:t>
          </a:r>
        </a:p>
      </xdr:txBody>
    </xdr:sp>
    <xdr:clientData/>
  </xdr:oneCellAnchor>
  <xdr:twoCellAnchor>
    <xdr:from>
      <xdr:col>20</xdr:col>
      <xdr:colOff>244929</xdr:colOff>
      <xdr:row>3</xdr:row>
      <xdr:rowOff>1986642</xdr:rowOff>
    </xdr:from>
    <xdr:to>
      <xdr:col>20</xdr:col>
      <xdr:colOff>531216</xdr:colOff>
      <xdr:row>3</xdr:row>
      <xdr:rowOff>2798256</xdr:rowOff>
    </xdr:to>
    <xdr:sp macro="" textlink="">
      <xdr:nvSpPr>
        <xdr:cNvPr id="35" name="Arrow: Curved Right 34">
          <a:extLst>
            <a:ext uri="{FF2B5EF4-FFF2-40B4-BE49-F238E27FC236}">
              <a16:creationId xmlns:a16="http://schemas.microsoft.com/office/drawing/2014/main" id="{DEE2BE6C-F23A-48E7-8506-E0FA03EA03FE}"/>
            </a:ext>
          </a:extLst>
        </xdr:cNvPr>
        <xdr:cNvSpPr/>
      </xdr:nvSpPr>
      <xdr:spPr>
        <a:xfrm rot="20781895">
          <a:off x="14056179" y="4612821"/>
          <a:ext cx="286287" cy="811614"/>
        </a:xfrm>
        <a:prstGeom prst="curvedRightArrow">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solidFill>
              <a:schemeClr val="tx1"/>
            </a:solidFill>
          </a:endParaRPr>
        </a:p>
      </xdr:txBody>
    </xdr:sp>
    <xdr:clientData/>
  </xdr:twoCellAnchor>
  <xdr:twoCellAnchor>
    <xdr:from>
      <xdr:col>20</xdr:col>
      <xdr:colOff>383722</xdr:colOff>
      <xdr:row>4</xdr:row>
      <xdr:rowOff>1894117</xdr:rowOff>
    </xdr:from>
    <xdr:to>
      <xdr:col>21</xdr:col>
      <xdr:colOff>57688</xdr:colOff>
      <xdr:row>4</xdr:row>
      <xdr:rowOff>2708906</xdr:rowOff>
    </xdr:to>
    <xdr:sp macro="" textlink="">
      <xdr:nvSpPr>
        <xdr:cNvPr id="36" name="Arrow: Curved Right 35">
          <a:extLst>
            <a:ext uri="{FF2B5EF4-FFF2-40B4-BE49-F238E27FC236}">
              <a16:creationId xmlns:a16="http://schemas.microsoft.com/office/drawing/2014/main" id="{484D4AED-B875-4958-82E8-150F4B8EF6FC}"/>
            </a:ext>
          </a:extLst>
        </xdr:cNvPr>
        <xdr:cNvSpPr/>
      </xdr:nvSpPr>
      <xdr:spPr>
        <a:xfrm rot="20781895">
          <a:off x="14194972" y="7867653"/>
          <a:ext cx="286287" cy="814789"/>
        </a:xfrm>
        <a:prstGeom prst="curvedRightArrow">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solidFill>
              <a:schemeClr val="tx1"/>
            </a:solidFill>
          </a:endParaRPr>
        </a:p>
      </xdr:txBody>
    </xdr:sp>
    <xdr:clientData/>
  </xdr:twoCellAnchor>
  <xdr:twoCellAnchor>
    <xdr:from>
      <xdr:col>20</xdr:col>
      <xdr:colOff>41728</xdr:colOff>
      <xdr:row>2</xdr:row>
      <xdr:rowOff>1348015</xdr:rowOff>
    </xdr:from>
    <xdr:to>
      <xdr:col>20</xdr:col>
      <xdr:colOff>328015</xdr:colOff>
      <xdr:row>2</xdr:row>
      <xdr:rowOff>2162804</xdr:rowOff>
    </xdr:to>
    <xdr:sp macro="" textlink="">
      <xdr:nvSpPr>
        <xdr:cNvPr id="37" name="Arrow: Curved Right 36">
          <a:extLst>
            <a:ext uri="{FF2B5EF4-FFF2-40B4-BE49-F238E27FC236}">
              <a16:creationId xmlns:a16="http://schemas.microsoft.com/office/drawing/2014/main" id="{0E2F32C6-2290-4B36-A387-1123C26B570B}"/>
            </a:ext>
          </a:extLst>
        </xdr:cNvPr>
        <xdr:cNvSpPr/>
      </xdr:nvSpPr>
      <xdr:spPr>
        <a:xfrm rot="20781895">
          <a:off x="13784942" y="1710872"/>
          <a:ext cx="286287" cy="814789"/>
        </a:xfrm>
        <a:prstGeom prst="curvedRightArrow">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solidFill>
              <a:schemeClr val="tx1"/>
            </a:solidFill>
          </a:endParaRPr>
        </a:p>
      </xdr:txBody>
    </xdr:sp>
    <xdr:clientData/>
  </xdr:twoCellAnchor>
  <xdr:twoCellAnchor>
    <xdr:from>
      <xdr:col>9</xdr:col>
      <xdr:colOff>122464</xdr:colOff>
      <xdr:row>6</xdr:row>
      <xdr:rowOff>77561</xdr:rowOff>
    </xdr:from>
    <xdr:to>
      <xdr:col>16</xdr:col>
      <xdr:colOff>380999</xdr:colOff>
      <xdr:row>6</xdr:row>
      <xdr:rowOff>3048001</xdr:rowOff>
    </xdr:to>
    <xdr:graphicFrame macro="">
      <xdr:nvGraphicFramePr>
        <xdr:cNvPr id="40" name="Chart 39">
          <a:extLst>
            <a:ext uri="{FF2B5EF4-FFF2-40B4-BE49-F238E27FC236}">
              <a16:creationId xmlns:a16="http://schemas.microsoft.com/office/drawing/2014/main" id="{7973D055-C892-494F-FCA3-27632F1420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136071</xdr:colOff>
      <xdr:row>5</xdr:row>
      <xdr:rowOff>244020</xdr:rowOff>
    </xdr:from>
    <xdr:to>
      <xdr:col>16</xdr:col>
      <xdr:colOff>418646</xdr:colOff>
      <xdr:row>5</xdr:row>
      <xdr:rowOff>2984045</xdr:rowOff>
    </xdr:to>
    <xdr:graphicFrame macro="">
      <xdr:nvGraphicFramePr>
        <xdr:cNvPr id="41" name="Chart 40">
          <a:extLst>
            <a:ext uri="{FF2B5EF4-FFF2-40B4-BE49-F238E27FC236}">
              <a16:creationId xmlns:a16="http://schemas.microsoft.com/office/drawing/2014/main" id="{99260B54-D973-9E31-9252-74B3F777A8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217714</xdr:colOff>
      <xdr:row>5</xdr:row>
      <xdr:rowOff>186417</xdr:rowOff>
    </xdr:from>
    <xdr:to>
      <xdr:col>24</xdr:col>
      <xdr:colOff>500289</xdr:colOff>
      <xdr:row>5</xdr:row>
      <xdr:rowOff>2926442</xdr:rowOff>
    </xdr:to>
    <xdr:graphicFrame macro="">
      <xdr:nvGraphicFramePr>
        <xdr:cNvPr id="42" name="Chart 41">
          <a:extLst>
            <a:ext uri="{FF2B5EF4-FFF2-40B4-BE49-F238E27FC236}">
              <a16:creationId xmlns:a16="http://schemas.microsoft.com/office/drawing/2014/main" id="{970B5DF3-B110-E6D0-FD59-1385B69D9B1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17</xdr:col>
      <xdr:colOff>244928</xdr:colOff>
      <xdr:row>6</xdr:row>
      <xdr:rowOff>50347</xdr:rowOff>
    </xdr:from>
    <xdr:to>
      <xdr:col>24</xdr:col>
      <xdr:colOff>541110</xdr:colOff>
      <xdr:row>6</xdr:row>
      <xdr:rowOff>3129643</xdr:rowOff>
    </xdr:to>
    <xdr:graphicFrame macro="">
      <xdr:nvGraphicFramePr>
        <xdr:cNvPr id="43" name="Chart 42">
          <a:extLst>
            <a:ext uri="{FF2B5EF4-FFF2-40B4-BE49-F238E27FC236}">
              <a16:creationId xmlns:a16="http://schemas.microsoft.com/office/drawing/2014/main" id="{F163A286-546B-2625-57BA-EBDAB72F71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oneCellAnchor>
    <xdr:from>
      <xdr:col>18</xdr:col>
      <xdr:colOff>40821</xdr:colOff>
      <xdr:row>6</xdr:row>
      <xdr:rowOff>2952750</xdr:rowOff>
    </xdr:from>
    <xdr:ext cx="4343400" cy="248851"/>
    <xdr:sp macro="" textlink="">
      <xdr:nvSpPr>
        <xdr:cNvPr id="44" name="TextBox 43">
          <a:extLst>
            <a:ext uri="{FF2B5EF4-FFF2-40B4-BE49-F238E27FC236}">
              <a16:creationId xmlns:a16="http://schemas.microsoft.com/office/drawing/2014/main" id="{B212C011-BDE5-4093-BC38-1030551B6068}"/>
            </a:ext>
          </a:extLst>
        </xdr:cNvPr>
        <xdr:cNvSpPr txBox="1"/>
      </xdr:nvSpPr>
      <xdr:spPr>
        <a:xfrm>
          <a:off x="14137821" y="16124464"/>
          <a:ext cx="4343400" cy="248851"/>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CA" sz="1000" b="0" i="0" u="none" strike="noStrike" kern="0" cap="none" spc="0" normalizeH="0" baseline="0" noProof="0">
              <a:ln>
                <a:noFill/>
              </a:ln>
              <a:solidFill>
                <a:sysClr val="windowText" lastClr="000000"/>
              </a:solidFill>
              <a:effectLst/>
              <a:uLnTx/>
              <a:uFillTx/>
              <a:latin typeface="Calibri" panose="020F0502020204030204"/>
              <a:ea typeface="+mn-ea"/>
              <a:cs typeface="+mn-cs"/>
            </a:rPr>
            <a:t>Total cost of all osteoporotic fractures              Total direct costs of FLS</a:t>
          </a:r>
        </a:p>
      </xdr:txBody>
    </xdr:sp>
    <xdr:clientData/>
  </xdr:oneCellAnchor>
  <xdr:oneCellAnchor>
    <xdr:from>
      <xdr:col>18</xdr:col>
      <xdr:colOff>173264</xdr:colOff>
      <xdr:row>5</xdr:row>
      <xdr:rowOff>2730501</xdr:rowOff>
    </xdr:from>
    <xdr:ext cx="4343400" cy="248851"/>
    <xdr:sp macro="" textlink="">
      <xdr:nvSpPr>
        <xdr:cNvPr id="45" name="TextBox 44">
          <a:extLst>
            <a:ext uri="{FF2B5EF4-FFF2-40B4-BE49-F238E27FC236}">
              <a16:creationId xmlns:a16="http://schemas.microsoft.com/office/drawing/2014/main" id="{690256A1-52C1-4B94-9D4D-1B2829D00D70}"/>
            </a:ext>
          </a:extLst>
        </xdr:cNvPr>
        <xdr:cNvSpPr txBox="1"/>
      </xdr:nvSpPr>
      <xdr:spPr>
        <a:xfrm>
          <a:off x="14270264" y="12636501"/>
          <a:ext cx="4343400" cy="248851"/>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CA" sz="1000" b="0" i="0" u="none" strike="noStrike" kern="0" cap="none" spc="0" normalizeH="0" baseline="0" noProof="0">
              <a:ln>
                <a:noFill/>
              </a:ln>
              <a:solidFill>
                <a:sysClr val="windowText" lastClr="000000"/>
              </a:solidFill>
              <a:effectLst/>
              <a:uLnTx/>
              <a:uFillTx/>
              <a:latin typeface="Calibri" panose="020F0502020204030204"/>
              <a:ea typeface="+mn-ea"/>
              <a:cs typeface="+mn-cs"/>
            </a:rPr>
            <a:t>Total cost of all osteoporotic fractures              Total direct costs of FLS</a:t>
          </a:r>
        </a:p>
      </xdr:txBody>
    </xdr:sp>
    <xdr:clientData/>
  </xdr:oneCellAnchor>
  <xdr:oneCellAnchor>
    <xdr:from>
      <xdr:col>21</xdr:col>
      <xdr:colOff>350611</xdr:colOff>
      <xdr:row>5</xdr:row>
      <xdr:rowOff>846817</xdr:rowOff>
    </xdr:from>
    <xdr:ext cx="1790700" cy="1595309"/>
    <xdr:sp macro="" textlink="">
      <xdr:nvSpPr>
        <xdr:cNvPr id="46" name="TextBox 45">
          <a:extLst>
            <a:ext uri="{FF2B5EF4-FFF2-40B4-BE49-F238E27FC236}">
              <a16:creationId xmlns:a16="http://schemas.microsoft.com/office/drawing/2014/main" id="{98E45478-D336-447F-B598-195839473E5E}"/>
            </a:ext>
          </a:extLst>
        </xdr:cNvPr>
        <xdr:cNvSpPr txBox="1"/>
      </xdr:nvSpPr>
      <xdr:spPr>
        <a:xfrm>
          <a:off x="16284575" y="10752817"/>
          <a:ext cx="1790700" cy="159530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CA" sz="1200" b="1">
              <a:solidFill>
                <a:schemeClr val="tx1"/>
              </a:solidFill>
              <a:latin typeface="+mn-lt"/>
              <a:ea typeface="+mn-ea"/>
              <a:cs typeface="+mn-cs"/>
            </a:rPr>
            <a:t>As per OC's projections, offering FLS for all fracture patients inthis jurisdiction would cost only </a:t>
          </a:r>
          <a:r>
            <a:rPr lang="en-CA" sz="1200" b="1">
              <a:solidFill>
                <a:srgbClr val="FF0000"/>
              </a:solidFill>
              <a:latin typeface="+mn-lt"/>
              <a:ea typeface="+mn-ea"/>
              <a:cs typeface="+mn-cs"/>
            </a:rPr>
            <a:t>1.5% </a:t>
          </a:r>
          <a:r>
            <a:rPr lang="en-CA" sz="1200" b="1">
              <a:solidFill>
                <a:schemeClr val="tx1"/>
              </a:solidFill>
              <a:latin typeface="+mn-lt"/>
              <a:ea typeface="+mn-ea"/>
              <a:cs typeface="+mn-cs"/>
            </a:rPr>
            <a:t>of the current costs expended for all osteoporotioc energy fractures.</a:t>
          </a:r>
          <a:endParaRPr lang="en-CA" sz="1200" b="1"/>
        </a:p>
      </xdr:txBody>
    </xdr:sp>
    <xdr:clientData/>
  </xdr:oneCellAnchor>
  <xdr:oneCellAnchor>
    <xdr:from>
      <xdr:col>21</xdr:col>
      <xdr:colOff>268968</xdr:colOff>
      <xdr:row>6</xdr:row>
      <xdr:rowOff>636361</xdr:rowOff>
    </xdr:from>
    <xdr:ext cx="1790700" cy="1595309"/>
    <xdr:sp macro="" textlink="">
      <xdr:nvSpPr>
        <xdr:cNvPr id="47" name="TextBox 46">
          <a:extLst>
            <a:ext uri="{FF2B5EF4-FFF2-40B4-BE49-F238E27FC236}">
              <a16:creationId xmlns:a16="http://schemas.microsoft.com/office/drawing/2014/main" id="{91B72EB6-1EBA-43B6-BEFA-7BB50A0361B6}"/>
            </a:ext>
          </a:extLst>
        </xdr:cNvPr>
        <xdr:cNvSpPr txBox="1"/>
      </xdr:nvSpPr>
      <xdr:spPr>
        <a:xfrm>
          <a:off x="16202932" y="13808075"/>
          <a:ext cx="1790700" cy="159530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CA" sz="1200" b="1">
              <a:solidFill>
                <a:schemeClr val="tx1"/>
              </a:solidFill>
              <a:latin typeface="+mn-lt"/>
              <a:ea typeface="+mn-ea"/>
              <a:cs typeface="+mn-cs"/>
            </a:rPr>
            <a:t>As per OC's projections, offering FLS for all fracture patients in this jurisdiction would cost only </a:t>
          </a:r>
          <a:r>
            <a:rPr lang="en-CA" sz="1200" b="1">
              <a:solidFill>
                <a:srgbClr val="FF0000"/>
              </a:solidFill>
              <a:latin typeface="+mn-lt"/>
              <a:ea typeface="+mn-ea"/>
              <a:cs typeface="+mn-cs"/>
            </a:rPr>
            <a:t>1.5% </a:t>
          </a:r>
          <a:r>
            <a:rPr lang="en-CA" sz="1200" b="1">
              <a:solidFill>
                <a:schemeClr val="tx1"/>
              </a:solidFill>
              <a:latin typeface="+mn-lt"/>
              <a:ea typeface="+mn-ea"/>
              <a:cs typeface="+mn-cs"/>
            </a:rPr>
            <a:t>of the current costs expended for all osteoporotioc energy fractures.</a:t>
          </a:r>
          <a:endParaRPr lang="en-CA" sz="1200" b="1"/>
        </a:p>
      </xdr:txBody>
    </xdr:sp>
    <xdr:clientData/>
  </xdr:oneCellAnchor>
  <xdr:oneCellAnchor>
    <xdr:from>
      <xdr:col>9</xdr:col>
      <xdr:colOff>421822</xdr:colOff>
      <xdr:row>5</xdr:row>
      <xdr:rowOff>2762249</xdr:rowOff>
    </xdr:from>
    <xdr:ext cx="4343400" cy="248851"/>
    <xdr:sp macro="" textlink="">
      <xdr:nvSpPr>
        <xdr:cNvPr id="48" name="TextBox 47">
          <a:extLst>
            <a:ext uri="{FF2B5EF4-FFF2-40B4-BE49-F238E27FC236}">
              <a16:creationId xmlns:a16="http://schemas.microsoft.com/office/drawing/2014/main" id="{F49435D5-1ED3-4D45-B984-70E134B5F108}"/>
            </a:ext>
          </a:extLst>
        </xdr:cNvPr>
        <xdr:cNvSpPr txBox="1"/>
      </xdr:nvSpPr>
      <xdr:spPr>
        <a:xfrm>
          <a:off x="9007929" y="12668249"/>
          <a:ext cx="4343400" cy="248851"/>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CA" sz="1000" b="0" i="0" u="none" strike="noStrike" kern="0" cap="none" spc="0" normalizeH="0" baseline="0" noProof="0">
              <a:ln>
                <a:noFill/>
              </a:ln>
              <a:solidFill>
                <a:sysClr val="windowText" lastClr="000000"/>
              </a:solidFill>
              <a:effectLst/>
              <a:uLnTx/>
              <a:uFillTx/>
              <a:latin typeface="Calibri" panose="020F0502020204030204"/>
              <a:ea typeface="+mn-ea"/>
              <a:cs typeface="+mn-cs"/>
            </a:rPr>
            <a:t>Total cost of all osteoporotic fractures as comparied to total direct costs of FLS</a:t>
          </a:r>
        </a:p>
      </xdr:txBody>
    </xdr:sp>
    <xdr:clientData/>
  </xdr:oneCellAnchor>
  <xdr:oneCellAnchor>
    <xdr:from>
      <xdr:col>9</xdr:col>
      <xdr:colOff>231321</xdr:colOff>
      <xdr:row>6</xdr:row>
      <xdr:rowOff>2840718</xdr:rowOff>
    </xdr:from>
    <xdr:ext cx="4343400" cy="248851"/>
    <xdr:sp macro="" textlink="">
      <xdr:nvSpPr>
        <xdr:cNvPr id="49" name="TextBox 48">
          <a:extLst>
            <a:ext uri="{FF2B5EF4-FFF2-40B4-BE49-F238E27FC236}">
              <a16:creationId xmlns:a16="http://schemas.microsoft.com/office/drawing/2014/main" id="{7AFE110B-B2D7-4B7E-9144-B70EFBF393E9}"/>
            </a:ext>
          </a:extLst>
        </xdr:cNvPr>
        <xdr:cNvSpPr txBox="1"/>
      </xdr:nvSpPr>
      <xdr:spPr>
        <a:xfrm>
          <a:off x="8817428" y="16012432"/>
          <a:ext cx="4343400" cy="248851"/>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CA" sz="1000" b="0" i="0" u="none" strike="noStrike" kern="0" cap="none" spc="0" normalizeH="0" baseline="0" noProof="0">
              <a:ln>
                <a:noFill/>
              </a:ln>
              <a:solidFill>
                <a:sysClr val="windowText" lastClr="000000"/>
              </a:solidFill>
              <a:effectLst/>
              <a:uLnTx/>
              <a:uFillTx/>
              <a:latin typeface="Calibri" panose="020F0502020204030204"/>
              <a:ea typeface="+mn-ea"/>
              <a:cs typeface="+mn-cs"/>
            </a:rPr>
            <a:t>Total cost of all osteoporotic fractures as comparied to total direct costs of FLS</a:t>
          </a:r>
        </a:p>
      </xdr:txBody>
    </xdr:sp>
    <xdr:clientData/>
  </xdr:oneCellAnchor>
  <xdr:twoCellAnchor>
    <xdr:from>
      <xdr:col>21</xdr:col>
      <xdr:colOff>122465</xdr:colOff>
      <xdr:row>6</xdr:row>
      <xdr:rowOff>1752145</xdr:rowOff>
    </xdr:from>
    <xdr:to>
      <xdr:col>21</xdr:col>
      <xdr:colOff>402402</xdr:colOff>
      <xdr:row>6</xdr:row>
      <xdr:rowOff>2573285</xdr:rowOff>
    </xdr:to>
    <xdr:sp macro="" textlink="">
      <xdr:nvSpPr>
        <xdr:cNvPr id="50" name="Arrow: Curved Right 49">
          <a:extLst>
            <a:ext uri="{FF2B5EF4-FFF2-40B4-BE49-F238E27FC236}">
              <a16:creationId xmlns:a16="http://schemas.microsoft.com/office/drawing/2014/main" id="{E68F0EFC-FCFA-4B1E-BEB1-152FFD482622}"/>
            </a:ext>
          </a:extLst>
        </xdr:cNvPr>
        <xdr:cNvSpPr/>
      </xdr:nvSpPr>
      <xdr:spPr>
        <a:xfrm rot="20781895">
          <a:off x="16056429" y="14923859"/>
          <a:ext cx="279937" cy="821140"/>
        </a:xfrm>
        <a:prstGeom prst="curvedRightArrow">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solidFill>
              <a:schemeClr val="tx1"/>
            </a:solidFill>
          </a:endParaRPr>
        </a:p>
      </xdr:txBody>
    </xdr:sp>
    <xdr:clientData/>
  </xdr:twoCellAnchor>
  <xdr:twoCellAnchor>
    <xdr:from>
      <xdr:col>21</xdr:col>
      <xdr:colOff>108856</xdr:colOff>
      <xdr:row>5</xdr:row>
      <xdr:rowOff>1850571</xdr:rowOff>
    </xdr:from>
    <xdr:to>
      <xdr:col>21</xdr:col>
      <xdr:colOff>395143</xdr:colOff>
      <xdr:row>5</xdr:row>
      <xdr:rowOff>2665360</xdr:rowOff>
    </xdr:to>
    <xdr:sp macro="" textlink="">
      <xdr:nvSpPr>
        <xdr:cNvPr id="51" name="Arrow: Curved Right 50">
          <a:extLst>
            <a:ext uri="{FF2B5EF4-FFF2-40B4-BE49-F238E27FC236}">
              <a16:creationId xmlns:a16="http://schemas.microsoft.com/office/drawing/2014/main" id="{B2EF5480-8BA4-47D7-A9A0-11A269AED7A1}"/>
            </a:ext>
          </a:extLst>
        </xdr:cNvPr>
        <xdr:cNvSpPr/>
      </xdr:nvSpPr>
      <xdr:spPr>
        <a:xfrm rot="20781895">
          <a:off x="16042820" y="11756571"/>
          <a:ext cx="286287" cy="814789"/>
        </a:xfrm>
        <a:prstGeom prst="curvedRightArrow">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solidFill>
              <a:schemeClr val="tx1"/>
            </a:solidFill>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0.71736</cdr:x>
      <cdr:y>0.6153</cdr:y>
    </cdr:from>
    <cdr:to>
      <cdr:x>0.91736</cdr:x>
      <cdr:y>0.94902</cdr:y>
    </cdr:to>
    <cdr:sp macro="" textlink="">
      <cdr:nvSpPr>
        <cdr:cNvPr id="2" name="TextBox 1">
          <a:extLst xmlns:a="http://schemas.openxmlformats.org/drawingml/2006/main">
            <a:ext uri="{FF2B5EF4-FFF2-40B4-BE49-F238E27FC236}">
              <a16:creationId xmlns:a16="http://schemas.microsoft.com/office/drawing/2014/main" id="{983A2C47-7856-40BE-83B7-ACE62518BD27}"/>
            </a:ext>
          </a:extLst>
        </cdr:cNvPr>
        <cdr:cNvSpPr txBox="1"/>
      </cdr:nvSpPr>
      <cdr:spPr>
        <a:xfrm xmlns:a="http://schemas.openxmlformats.org/drawingml/2006/main">
          <a:off x="3279775" y="16859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CA" sz="1100"/>
        </a:p>
      </cdr:txBody>
    </cdr:sp>
  </cdr:relSizeAnchor>
  <cdr:relSizeAnchor xmlns:cdr="http://schemas.openxmlformats.org/drawingml/2006/chartDrawing">
    <cdr:from>
      <cdr:x>0.64437</cdr:x>
      <cdr:y>0.0759</cdr:y>
    </cdr:from>
    <cdr:to>
      <cdr:x>0.99792</cdr:x>
      <cdr:y>0.88297</cdr:y>
    </cdr:to>
    <cdr:sp macro="" textlink="">
      <cdr:nvSpPr>
        <cdr:cNvPr id="3" name="TextBox 2">
          <a:extLst xmlns:a="http://schemas.openxmlformats.org/drawingml/2006/main">
            <a:ext uri="{FF2B5EF4-FFF2-40B4-BE49-F238E27FC236}">
              <a16:creationId xmlns:a16="http://schemas.microsoft.com/office/drawing/2014/main" id="{5623121C-1B93-47BC-BF26-CE873B8C8FB7}"/>
            </a:ext>
          </a:extLst>
        </cdr:cNvPr>
        <cdr:cNvSpPr txBox="1"/>
      </cdr:nvSpPr>
      <cdr:spPr>
        <a:xfrm xmlns:a="http://schemas.openxmlformats.org/drawingml/2006/main">
          <a:off x="2533650" y="172475"/>
          <a:ext cx="1390181" cy="18339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CA" sz="1100"/>
            <a:t>The total direct costs for secondary fracture prevention with  FLS in the study year (2015) were 1.3% of the annual total costs of all low-energy fractures in the study area.</a:t>
          </a:r>
        </a:p>
      </cdr:txBody>
    </cdr:sp>
  </cdr:relSizeAnchor>
  <cdr:relSizeAnchor xmlns:cdr="http://schemas.openxmlformats.org/drawingml/2006/chartDrawing">
    <cdr:from>
      <cdr:x>0.72699</cdr:x>
      <cdr:y>0.88231</cdr:y>
    </cdr:from>
    <cdr:to>
      <cdr:x>1</cdr:x>
      <cdr:y>1</cdr:y>
    </cdr:to>
    <cdr:sp macro="" textlink="">
      <cdr:nvSpPr>
        <cdr:cNvPr id="4" name="TextBox 2">
          <a:extLst xmlns:a="http://schemas.openxmlformats.org/drawingml/2006/main">
            <a:ext uri="{FF2B5EF4-FFF2-40B4-BE49-F238E27FC236}">
              <a16:creationId xmlns:a16="http://schemas.microsoft.com/office/drawing/2014/main" id="{BE1E847C-9438-4B19-A38F-4F8EA03D5CD1}"/>
            </a:ext>
          </a:extLst>
        </cdr:cNvPr>
        <cdr:cNvSpPr txBox="1"/>
      </cdr:nvSpPr>
      <cdr:spPr>
        <a:xfrm xmlns:a="http://schemas.openxmlformats.org/drawingml/2006/main">
          <a:off x="2722337" y="1983339"/>
          <a:ext cx="1022350"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CA" sz="1100" b="0" i="0" u="none" strike="noStrike" baseline="0">
              <a:solidFill>
                <a:schemeClr val="tx1"/>
              </a:solidFill>
              <a:latin typeface="+mn-lt"/>
              <a:ea typeface="+mn-ea"/>
              <a:cs typeface="+mn-cs"/>
            </a:rPr>
            <a:t>Lüthje, 2020</a:t>
          </a:r>
          <a:endParaRPr lang="en-CA" sz="1100"/>
        </a:p>
      </cdr:txBody>
    </cdr:sp>
  </cdr:relSizeAnchor>
</c:userShapes>
</file>

<file path=xl/drawings/drawing3.xml><?xml version="1.0" encoding="utf-8"?>
<c:userShapes xmlns:c="http://schemas.openxmlformats.org/drawingml/2006/chart">
  <cdr:relSizeAnchor xmlns:cdr="http://schemas.openxmlformats.org/drawingml/2006/chartDrawing">
    <cdr:from>
      <cdr:x>0.80042</cdr:x>
      <cdr:y>0.15394</cdr:y>
    </cdr:from>
    <cdr:to>
      <cdr:x>1</cdr:x>
      <cdr:y>0.48727</cdr:y>
    </cdr:to>
    <cdr:sp macro="" textlink="">
      <cdr:nvSpPr>
        <cdr:cNvPr id="2" name="TextBox 1">
          <a:extLst xmlns:a="http://schemas.openxmlformats.org/drawingml/2006/main">
            <a:ext uri="{FF2B5EF4-FFF2-40B4-BE49-F238E27FC236}">
              <a16:creationId xmlns:a16="http://schemas.microsoft.com/office/drawing/2014/main" id="{9F233C89-3CF9-48F9-86A1-9B9FFC7AAD99}"/>
            </a:ext>
          </a:extLst>
        </cdr:cNvPr>
        <cdr:cNvSpPr txBox="1"/>
      </cdr:nvSpPr>
      <cdr:spPr>
        <a:xfrm xmlns:a="http://schemas.openxmlformats.org/drawingml/2006/main">
          <a:off x="4021138" y="4222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CA" sz="1100"/>
        </a:p>
      </cdr:txBody>
    </cdr:sp>
  </cdr:relSizeAnchor>
  <cdr:relSizeAnchor xmlns:cdr="http://schemas.openxmlformats.org/drawingml/2006/chartDrawing">
    <cdr:from>
      <cdr:x>0.74292</cdr:x>
      <cdr:y>0.03928</cdr:y>
    </cdr:from>
    <cdr:to>
      <cdr:x>0.9889</cdr:x>
      <cdr:y>0.76266</cdr:y>
    </cdr:to>
    <cdr:sp macro="" textlink="">
      <cdr:nvSpPr>
        <cdr:cNvPr id="3" name="TextBox 2">
          <a:extLst xmlns:a="http://schemas.openxmlformats.org/drawingml/2006/main">
            <a:ext uri="{FF2B5EF4-FFF2-40B4-BE49-F238E27FC236}">
              <a16:creationId xmlns:a16="http://schemas.microsoft.com/office/drawing/2014/main" id="{99F8EAD1-4B41-440B-B55B-A9B5A470E865}"/>
            </a:ext>
          </a:extLst>
        </cdr:cNvPr>
        <cdr:cNvSpPr txBox="1"/>
      </cdr:nvSpPr>
      <cdr:spPr>
        <a:xfrm xmlns:a="http://schemas.openxmlformats.org/drawingml/2006/main">
          <a:off x="2949121" y="123966"/>
          <a:ext cx="976472" cy="22829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CA" sz="1100"/>
            <a:t>The total cost of universal access (UK) to FLS were 0.6 % of the estimated annual cost of hip fracture care alone.</a:t>
          </a:r>
        </a:p>
      </cdr:txBody>
    </cdr:sp>
  </cdr:relSizeAnchor>
  <cdr:relSizeAnchor xmlns:cdr="http://schemas.openxmlformats.org/drawingml/2006/chartDrawing">
    <cdr:from>
      <cdr:x>0.74497</cdr:x>
      <cdr:y>0.88964</cdr:y>
    </cdr:from>
    <cdr:to>
      <cdr:x>1</cdr:x>
      <cdr:y>0.97347</cdr:y>
    </cdr:to>
    <cdr:sp macro="" textlink="">
      <cdr:nvSpPr>
        <cdr:cNvPr id="5" name="TextBox 2">
          <a:extLst xmlns:a="http://schemas.openxmlformats.org/drawingml/2006/main">
            <a:ext uri="{FF2B5EF4-FFF2-40B4-BE49-F238E27FC236}">
              <a16:creationId xmlns:a16="http://schemas.microsoft.com/office/drawing/2014/main" id="{BE1E847C-9438-4B19-A38F-4F8EA03D5CD1}"/>
            </a:ext>
          </a:extLst>
        </cdr:cNvPr>
        <cdr:cNvSpPr txBox="1"/>
      </cdr:nvSpPr>
      <cdr:spPr>
        <a:xfrm xmlns:a="http://schemas.openxmlformats.org/drawingml/2006/main">
          <a:off x="2768728" y="2807674"/>
          <a:ext cx="947837"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CA" sz="1100" b="0" i="0" u="none" strike="noStrike" baseline="0">
              <a:solidFill>
                <a:schemeClr val="tx1"/>
              </a:solidFill>
              <a:latin typeface="+mn-lt"/>
              <a:ea typeface="+mn-ea"/>
              <a:cs typeface="+mn-cs"/>
            </a:rPr>
            <a:t>Cooper, 2011</a:t>
          </a:r>
          <a:endParaRPr lang="en-CA" sz="1100"/>
        </a:p>
      </cdr:txBody>
    </cdr:sp>
  </cdr:relSizeAnchor>
</c:userShapes>
</file>

<file path=xl/drawings/drawing4.xml><?xml version="1.0" encoding="utf-8"?>
<c:userShapes xmlns:c="http://schemas.openxmlformats.org/drawingml/2006/chart">
  <cdr:relSizeAnchor xmlns:cdr="http://schemas.openxmlformats.org/drawingml/2006/chartDrawing">
    <cdr:from>
      <cdr:x>0.52742</cdr:x>
      <cdr:y>0.39918</cdr:y>
    </cdr:from>
    <cdr:to>
      <cdr:x>0.96188</cdr:x>
      <cdr:y>0.97801</cdr:y>
    </cdr:to>
    <cdr:sp macro="" textlink="">
      <cdr:nvSpPr>
        <cdr:cNvPr id="2" name="TextBox 1">
          <a:extLst xmlns:a="http://schemas.openxmlformats.org/drawingml/2006/main">
            <a:ext uri="{FF2B5EF4-FFF2-40B4-BE49-F238E27FC236}">
              <a16:creationId xmlns:a16="http://schemas.microsoft.com/office/drawing/2014/main" id="{EC3473F2-5CB7-4DC0-8070-E53EF112DADA}"/>
            </a:ext>
          </a:extLst>
        </cdr:cNvPr>
        <cdr:cNvSpPr txBox="1"/>
      </cdr:nvSpPr>
      <cdr:spPr>
        <a:xfrm xmlns:a="http://schemas.openxmlformats.org/drawingml/2006/main">
          <a:off x="2043191" y="1216691"/>
          <a:ext cx="1683077" cy="1764274"/>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lstStyle xmlns:a="http://schemas.openxmlformats.org/drawingml/2006/main"/>
        <a:p xmlns:a="http://schemas.openxmlformats.org/drawingml/2006/main">
          <a:r>
            <a:rPr lang="en-CA" sz="1400" b="1"/>
            <a:t>The total direct costs </a:t>
          </a:r>
        </a:p>
        <a:p xmlns:a="http://schemas.openxmlformats.org/drawingml/2006/main">
          <a:r>
            <a:rPr lang="en-CA" sz="1400" b="1"/>
            <a:t>for FLS in the study year</a:t>
          </a:r>
        </a:p>
        <a:p xmlns:a="http://schemas.openxmlformats.org/drawingml/2006/main">
          <a:r>
            <a:rPr lang="en-CA" sz="1400" b="1"/>
            <a:t>represent only 0.6 % </a:t>
          </a:r>
        </a:p>
        <a:p xmlns:a="http://schemas.openxmlformats.org/drawingml/2006/main">
          <a:r>
            <a:rPr lang="en-CA" sz="1400" b="1"/>
            <a:t>of the annual total</a:t>
          </a:r>
        </a:p>
        <a:p xmlns:a="http://schemas.openxmlformats.org/drawingml/2006/main">
          <a:r>
            <a:rPr lang="en-CA" sz="1400" b="1"/>
            <a:t>costs of all osteoporotic</a:t>
          </a:r>
        </a:p>
        <a:p xmlns:a="http://schemas.openxmlformats.org/drawingml/2006/main">
          <a:r>
            <a:rPr lang="en-CA" sz="1400" b="1"/>
            <a:t>energy fractures.</a:t>
          </a:r>
        </a:p>
      </cdr:txBody>
    </cdr:sp>
  </cdr:relSizeAnchor>
</c:userShapes>
</file>

<file path=xl/drawings/drawing5.xml><?xml version="1.0" encoding="utf-8"?>
<c:userShapes xmlns:c="http://schemas.openxmlformats.org/drawingml/2006/chart">
  <cdr:relSizeAnchor xmlns:cdr="http://schemas.openxmlformats.org/drawingml/2006/chartDrawing">
    <cdr:from>
      <cdr:x>0.70768</cdr:x>
      <cdr:y>0.01754</cdr:y>
    </cdr:from>
    <cdr:to>
      <cdr:x>0.98578</cdr:x>
      <cdr:y>0.9638</cdr:y>
    </cdr:to>
    <cdr:sp macro="" textlink="">
      <cdr:nvSpPr>
        <cdr:cNvPr id="2" name="TextBox 1">
          <a:extLst xmlns:a="http://schemas.openxmlformats.org/drawingml/2006/main">
            <a:ext uri="{FF2B5EF4-FFF2-40B4-BE49-F238E27FC236}">
              <a16:creationId xmlns:a16="http://schemas.microsoft.com/office/drawing/2014/main" id="{0736A7C3-DDC3-4B91-86D0-92D30DBCC113}"/>
            </a:ext>
          </a:extLst>
        </cdr:cNvPr>
        <cdr:cNvSpPr txBox="1"/>
      </cdr:nvSpPr>
      <cdr:spPr>
        <a:xfrm xmlns:a="http://schemas.openxmlformats.org/drawingml/2006/main">
          <a:off x="2942773" y="48354"/>
          <a:ext cx="1156439" cy="260866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CA" sz="1100"/>
            <a:t>The direct FLS  costs (for example requiring 32 FTEs FLS RNs)for province-wide FLS were 1% compared to cost for all major osteoporotic fractures combined (2019)</a:t>
          </a:r>
        </a:p>
      </cdr:txBody>
    </cdr:sp>
  </cdr:relSizeAnchor>
  <cdr:relSizeAnchor xmlns:cdr="http://schemas.openxmlformats.org/drawingml/2006/chartDrawing">
    <cdr:from>
      <cdr:x>0.80028</cdr:x>
      <cdr:y>0.07755</cdr:y>
    </cdr:from>
    <cdr:to>
      <cdr:x>1</cdr:x>
      <cdr:y>0.41088</cdr:y>
    </cdr:to>
    <cdr:sp macro="" textlink="">
      <cdr:nvSpPr>
        <cdr:cNvPr id="3" name="TextBox 2">
          <a:extLst xmlns:a="http://schemas.openxmlformats.org/drawingml/2006/main">
            <a:ext uri="{FF2B5EF4-FFF2-40B4-BE49-F238E27FC236}">
              <a16:creationId xmlns:a16="http://schemas.microsoft.com/office/drawing/2014/main" id="{E08D81AE-C675-4A4D-8C7F-BA79DC840A6D}"/>
            </a:ext>
          </a:extLst>
        </cdr:cNvPr>
        <cdr:cNvSpPr txBox="1"/>
      </cdr:nvSpPr>
      <cdr:spPr>
        <a:xfrm xmlns:a="http://schemas.openxmlformats.org/drawingml/2006/main">
          <a:off x="4037013" y="2127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CA" sz="1100"/>
        </a:p>
      </cdr:txBody>
    </cdr:sp>
  </cdr:relSizeAnchor>
  <cdr:relSizeAnchor xmlns:cdr="http://schemas.openxmlformats.org/drawingml/2006/chartDrawing">
    <cdr:from>
      <cdr:x>0.7767</cdr:x>
      <cdr:y>0.90356</cdr:y>
    </cdr:from>
    <cdr:to>
      <cdr:x>1</cdr:x>
      <cdr:y>1</cdr:y>
    </cdr:to>
    <cdr:sp macro="" textlink="">
      <cdr:nvSpPr>
        <cdr:cNvPr id="4" name="TextBox 2">
          <a:extLst xmlns:a="http://schemas.openxmlformats.org/drawingml/2006/main">
            <a:ext uri="{FF2B5EF4-FFF2-40B4-BE49-F238E27FC236}">
              <a16:creationId xmlns:a16="http://schemas.microsoft.com/office/drawing/2014/main" id="{026E36FC-1591-46FF-AA8C-4F1CB70C2088}"/>
            </a:ext>
          </a:extLst>
        </cdr:cNvPr>
        <cdr:cNvSpPr txBox="1"/>
      </cdr:nvSpPr>
      <cdr:spPr>
        <a:xfrm xmlns:a="http://schemas.openxmlformats.org/drawingml/2006/main">
          <a:off x="3556004" y="2478640"/>
          <a:ext cx="1022346"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CA" sz="1100" b="0" i="0" u="none" strike="noStrike" baseline="0">
              <a:solidFill>
                <a:schemeClr val="tx1"/>
              </a:solidFill>
              <a:latin typeface="+mn-lt"/>
              <a:ea typeface="+mn-ea"/>
              <a:cs typeface="+mn-cs"/>
            </a:rPr>
            <a:t>Jaeger, 2021</a:t>
          </a:r>
          <a:endParaRPr lang="en-CA"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steoporosiscanada-my.sharepoint.com/personal/lschenkels_osteoporosis_ca/Documents/Documents/Infographics/Finland,%20Bc%20and%20UK%20calculations%20of%20perc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5">
          <cell r="A5" t="str">
            <v>Finland</v>
          </cell>
          <cell r="B5">
            <v>6520000</v>
          </cell>
          <cell r="C5">
            <v>85726</v>
          </cell>
          <cell r="F5" t="str">
            <v>The total direct costs for secondary fracture prevention with  FLS in the study year (2015) were 1.3% of the annual total costs of all low-energy fractures in the study area.</v>
          </cell>
        </row>
        <row r="6">
          <cell r="A6" t="str">
            <v>United Kingdom</v>
          </cell>
          <cell r="B6">
            <v>1700000000</v>
          </cell>
          <cell r="C6">
            <v>9700000</v>
          </cell>
        </row>
        <row r="7">
          <cell r="A7" t="str">
            <v>BC, Canada</v>
          </cell>
          <cell r="B7">
            <v>480000000</v>
          </cell>
          <cell r="C7">
            <v>4704000</v>
          </cell>
        </row>
      </sheetData>
    </sheetDataSet>
  </externalBook>
</externalLink>
</file>

<file path=xl/persons/person.xml><?xml version="1.0" encoding="utf-8"?>
<personList xmlns="http://schemas.microsoft.com/office/spreadsheetml/2018/threadedcomments" xmlns:x="http://schemas.openxmlformats.org/spreadsheetml/2006/main">
  <person displayName="Hilary Jaeger" id="{9D903543-92FE-43BF-BABA-BF5529A02E6C}" userId="4e18326c102fb6f7"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 dT="2022-11-22T05:45:40.55" personId="{9D903543-92FE-43BF-BABA-BF5529A02E6C}" id="{F8EB7C38-8202-4CD2-BE29-C7AC4ECAF885}">
    <text>I think we have landed on the most reasonable number here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109B2-396A-48DA-ADF1-C0D13B15C942}">
  <sheetPr>
    <tabColor theme="9"/>
  </sheetPr>
  <dimension ref="A1:A15"/>
  <sheetViews>
    <sheetView workbookViewId="0">
      <selection activeCell="A9" sqref="A9"/>
    </sheetView>
  </sheetViews>
  <sheetFormatPr defaultRowHeight="15" x14ac:dyDescent="0.25"/>
  <cols>
    <col min="1" max="1" width="255.5703125" customWidth="1"/>
  </cols>
  <sheetData>
    <row r="1" spans="1:1" x14ac:dyDescent="0.25">
      <c r="A1" s="86" t="s">
        <v>55</v>
      </c>
    </row>
    <row r="2" spans="1:1" x14ac:dyDescent="0.25">
      <c r="A2" t="s">
        <v>118</v>
      </c>
    </row>
    <row r="3" spans="1:1" x14ac:dyDescent="0.25">
      <c r="A3" s="4"/>
    </row>
    <row r="4" spans="1:1" x14ac:dyDescent="0.25">
      <c r="A4" s="86" t="s">
        <v>56</v>
      </c>
    </row>
    <row r="5" spans="1:1" x14ac:dyDescent="0.25">
      <c r="A5" s="3" t="s">
        <v>104</v>
      </c>
    </row>
    <row r="6" spans="1:1" x14ac:dyDescent="0.25">
      <c r="A6" s="3" t="s">
        <v>105</v>
      </c>
    </row>
    <row r="7" spans="1:1" x14ac:dyDescent="0.25">
      <c r="A7" s="3" t="s">
        <v>111</v>
      </c>
    </row>
    <row r="8" spans="1:1" x14ac:dyDescent="0.25">
      <c r="A8" t="s">
        <v>59</v>
      </c>
    </row>
    <row r="9" spans="1:1" x14ac:dyDescent="0.25">
      <c r="A9" s="189" t="s">
        <v>147</v>
      </c>
    </row>
    <row r="10" spans="1:1" x14ac:dyDescent="0.25">
      <c r="A10" s="142"/>
    </row>
    <row r="11" spans="1:1" x14ac:dyDescent="0.25">
      <c r="A11" s="86" t="s">
        <v>57</v>
      </c>
    </row>
    <row r="12" spans="1:1" x14ac:dyDescent="0.25">
      <c r="A12" t="s">
        <v>58</v>
      </c>
    </row>
    <row r="15" spans="1:1" x14ac:dyDescent="0.25">
      <c r="A15" t="s">
        <v>146</v>
      </c>
    </row>
  </sheetData>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FF862-373B-4182-8389-740F7B51442A}">
  <sheetPr>
    <tabColor theme="5"/>
  </sheetPr>
  <dimension ref="A1:B6"/>
  <sheetViews>
    <sheetView workbookViewId="0">
      <selection activeCell="B9" sqref="B9"/>
    </sheetView>
  </sheetViews>
  <sheetFormatPr defaultRowHeight="15" x14ac:dyDescent="0.25"/>
  <cols>
    <col min="1" max="1" width="23.42578125" customWidth="1"/>
    <col min="2" max="2" width="57" style="87" customWidth="1"/>
  </cols>
  <sheetData>
    <row r="1" spans="1:2" x14ac:dyDescent="0.25">
      <c r="A1" s="4" t="s">
        <v>60</v>
      </c>
    </row>
    <row r="2" spans="1:2" ht="47.25" x14ac:dyDescent="0.25">
      <c r="A2" s="88" t="s">
        <v>61</v>
      </c>
      <c r="B2" s="89" t="s">
        <v>103</v>
      </c>
    </row>
    <row r="3" spans="1:2" x14ac:dyDescent="0.25">
      <c r="A3" t="s">
        <v>72</v>
      </c>
      <c r="B3" s="87" t="s">
        <v>73</v>
      </c>
    </row>
    <row r="4" spans="1:2" ht="60" x14ac:dyDescent="0.25">
      <c r="A4" s="88" t="s">
        <v>126</v>
      </c>
      <c r="B4" s="190" t="s">
        <v>131</v>
      </c>
    </row>
    <row r="5" spans="1:2" ht="75" x14ac:dyDescent="0.25">
      <c r="A5" s="88" t="s">
        <v>127</v>
      </c>
      <c r="B5" s="190" t="s">
        <v>132</v>
      </c>
    </row>
    <row r="6" spans="1:2" x14ac:dyDescent="0.25">
      <c r="A6"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BF8F4-0F6F-4605-A27C-6ACF3EE96FE2}">
  <sheetPr>
    <tabColor theme="5"/>
  </sheetPr>
  <dimension ref="A1:B25"/>
  <sheetViews>
    <sheetView topLeftCell="A7" workbookViewId="0">
      <selection activeCell="B19" sqref="B19"/>
    </sheetView>
  </sheetViews>
  <sheetFormatPr defaultRowHeight="15" x14ac:dyDescent="0.25"/>
  <cols>
    <col min="1" max="1" width="7.5703125" style="88" customWidth="1"/>
    <col min="2" max="2" width="217.140625" customWidth="1"/>
    <col min="3" max="3" width="76.5703125" customWidth="1"/>
  </cols>
  <sheetData>
    <row r="1" spans="1:2" ht="15.75" thickBot="1" x14ac:dyDescent="0.3">
      <c r="A1" s="114" t="s">
        <v>62</v>
      </c>
      <c r="B1" s="115"/>
    </row>
    <row r="2" spans="1:2" ht="15.75" thickBot="1" x14ac:dyDescent="0.3">
      <c r="A2" s="92"/>
    </row>
    <row r="3" spans="1:2" ht="15.75" thickBot="1" x14ac:dyDescent="0.3">
      <c r="A3" s="112" t="s">
        <v>63</v>
      </c>
      <c r="B3" t="s">
        <v>112</v>
      </c>
    </row>
    <row r="4" spans="1:2" x14ac:dyDescent="0.25">
      <c r="B4" s="3" t="s">
        <v>110</v>
      </c>
    </row>
    <row r="5" spans="1:2" x14ac:dyDescent="0.25">
      <c r="B5" s="3" t="s">
        <v>106</v>
      </c>
    </row>
    <row r="6" spans="1:2" x14ac:dyDescent="0.25">
      <c r="A6" s="92"/>
    </row>
    <row r="7" spans="1:2" x14ac:dyDescent="0.25">
      <c r="A7" s="93" t="s">
        <v>65</v>
      </c>
      <c r="B7" t="s">
        <v>66</v>
      </c>
    </row>
    <row r="8" spans="1:2" ht="15.75" thickBot="1" x14ac:dyDescent="0.3"/>
    <row r="9" spans="1:2" ht="45.75" thickBot="1" x14ac:dyDescent="0.3">
      <c r="A9" s="113" t="s">
        <v>67</v>
      </c>
      <c r="B9" s="89" t="s">
        <v>115</v>
      </c>
    </row>
    <row r="11" spans="1:2" x14ac:dyDescent="0.25">
      <c r="A11" s="93" t="s">
        <v>65</v>
      </c>
      <c r="B11" t="s">
        <v>113</v>
      </c>
    </row>
    <row r="12" spans="1:2" ht="15.75" thickBot="1" x14ac:dyDescent="0.3"/>
    <row r="13" spans="1:2" ht="15.75" thickBot="1" x14ac:dyDescent="0.3">
      <c r="A13" s="113" t="s">
        <v>68</v>
      </c>
      <c r="B13" s="3" t="s">
        <v>116</v>
      </c>
    </row>
    <row r="14" spans="1:2" x14ac:dyDescent="0.25">
      <c r="B14" s="3"/>
    </row>
    <row r="15" spans="1:2" x14ac:dyDescent="0.25">
      <c r="A15" s="93" t="s">
        <v>65</v>
      </c>
      <c r="B15" s="3" t="s">
        <v>117</v>
      </c>
    </row>
    <row r="16" spans="1:2" x14ac:dyDescent="0.25">
      <c r="A16" s="93" t="s">
        <v>65</v>
      </c>
      <c r="B16" s="3" t="s">
        <v>69</v>
      </c>
    </row>
    <row r="18" spans="1:2" ht="15.75" thickBot="1" x14ac:dyDescent="0.3"/>
    <row r="19" spans="1:2" ht="108" thickBot="1" x14ac:dyDescent="0.3">
      <c r="A19" s="113" t="s">
        <v>70</v>
      </c>
      <c r="B19" s="87" t="s">
        <v>107</v>
      </c>
    </row>
    <row r="20" spans="1:2" ht="15.75" thickBot="1" x14ac:dyDescent="0.3"/>
    <row r="21" spans="1:2" ht="15.75" thickBot="1" x14ac:dyDescent="0.3">
      <c r="A21" s="113" t="s">
        <v>71</v>
      </c>
      <c r="B21" t="s">
        <v>119</v>
      </c>
    </row>
    <row r="22" spans="1:2" x14ac:dyDescent="0.25">
      <c r="B22" t="s">
        <v>90</v>
      </c>
    </row>
    <row r="23" spans="1:2" ht="45" x14ac:dyDescent="0.25">
      <c r="B23" s="87" t="s">
        <v>137</v>
      </c>
    </row>
    <row r="24" spans="1:2" ht="15.75" thickBot="1" x14ac:dyDescent="0.3"/>
    <row r="25" spans="1:2" ht="60.75" thickBot="1" x14ac:dyDescent="0.3">
      <c r="A25" s="113" t="s">
        <v>100</v>
      </c>
      <c r="B25" s="87" t="s">
        <v>120</v>
      </c>
    </row>
  </sheetData>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T27"/>
  <sheetViews>
    <sheetView topLeftCell="A10" zoomScale="90" zoomScaleNormal="90" workbookViewId="0">
      <selection activeCell="E31" sqref="E31"/>
    </sheetView>
  </sheetViews>
  <sheetFormatPr defaultRowHeight="15" x14ac:dyDescent="0.25"/>
  <cols>
    <col min="1" max="1" width="46.5703125" customWidth="1"/>
    <col min="2" max="2" width="22.5703125" customWidth="1"/>
    <col min="3" max="9" width="20.5703125" customWidth="1"/>
    <col min="10" max="10" width="20.42578125" customWidth="1"/>
    <col min="11" max="11" width="20.5703125" customWidth="1"/>
    <col min="12" max="13" width="23.85546875" customWidth="1"/>
    <col min="14" max="15" width="16.42578125" bestFit="1" customWidth="1"/>
    <col min="16" max="17" width="18.42578125" customWidth="1"/>
    <col min="18" max="18" width="10" bestFit="1" customWidth="1"/>
    <col min="19" max="19" width="16.140625" customWidth="1"/>
    <col min="20" max="20" width="10.140625" bestFit="1" customWidth="1"/>
    <col min="21" max="21" width="15.5703125" customWidth="1"/>
  </cols>
  <sheetData>
    <row r="1" spans="1:20" ht="33.6" customHeight="1" thickBot="1" x14ac:dyDescent="0.55000000000000004">
      <c r="B1" s="57" t="s">
        <v>25</v>
      </c>
      <c r="C1" s="56"/>
    </row>
    <row r="2" spans="1:20" s="25" customFormat="1" ht="45.75" thickBot="1" x14ac:dyDescent="0.3">
      <c r="A2" s="23"/>
      <c r="B2" s="26"/>
      <c r="C2" s="27" t="s">
        <v>16</v>
      </c>
      <c r="D2" s="28" t="s">
        <v>54</v>
      </c>
      <c r="E2" s="24"/>
    </row>
    <row r="3" spans="1:20" ht="69.95" customHeight="1" thickBot="1" x14ac:dyDescent="0.3">
      <c r="A3" s="81" t="s">
        <v>47</v>
      </c>
      <c r="B3" s="143">
        <v>150</v>
      </c>
      <c r="C3" s="82">
        <v>61540</v>
      </c>
      <c r="D3" s="21">
        <f>B3*C3</f>
        <v>9231000</v>
      </c>
      <c r="E3" s="22"/>
      <c r="F3" s="5"/>
      <c r="G3" s="5"/>
      <c r="H3" s="5"/>
      <c r="I3" s="5"/>
      <c r="J3" s="5"/>
      <c r="K3" s="5"/>
      <c r="L3" s="5"/>
      <c r="M3" s="5"/>
    </row>
    <row r="4" spans="1:20" ht="15.6" customHeight="1" x14ac:dyDescent="0.25">
      <c r="A4" s="10" t="s">
        <v>121</v>
      </c>
      <c r="B4" s="83">
        <f>B3*1.09</f>
        <v>163.5</v>
      </c>
      <c r="C4" s="13">
        <v>8117</v>
      </c>
      <c r="D4" s="14">
        <f>B4*C4</f>
        <v>1327129.5</v>
      </c>
      <c r="E4" s="144"/>
      <c r="F4" s="145"/>
      <c r="G4" s="145"/>
      <c r="H4" s="145"/>
      <c r="I4" s="145"/>
      <c r="J4" s="145"/>
      <c r="K4" s="145"/>
      <c r="L4" s="5"/>
      <c r="M4" s="5"/>
    </row>
    <row r="5" spans="1:20" ht="17.45" customHeight="1" x14ac:dyDescent="0.25">
      <c r="A5" s="2" t="s">
        <v>122</v>
      </c>
      <c r="B5" s="7">
        <f>B3*0.54</f>
        <v>81</v>
      </c>
      <c r="C5" s="15">
        <v>14937</v>
      </c>
      <c r="D5" s="16">
        <f>B5*C5</f>
        <v>1209897</v>
      </c>
      <c r="E5" s="144"/>
      <c r="F5" s="145"/>
      <c r="G5" s="145"/>
      <c r="H5" s="145"/>
      <c r="I5" s="145"/>
      <c r="J5" s="145"/>
      <c r="K5" s="145"/>
      <c r="L5" s="5"/>
      <c r="M5" s="5"/>
    </row>
    <row r="6" spans="1:20" ht="15.95" customHeight="1" x14ac:dyDescent="0.25">
      <c r="A6" s="11" t="s">
        <v>123</v>
      </c>
      <c r="B6" s="8">
        <f>B3*0.1</f>
        <v>15</v>
      </c>
      <c r="C6" s="17">
        <v>43350</v>
      </c>
      <c r="D6" s="18">
        <f>B6*C6</f>
        <v>650250</v>
      </c>
      <c r="E6" s="144"/>
      <c r="F6" s="145"/>
      <c r="G6" s="145"/>
      <c r="H6" s="145"/>
      <c r="I6" s="145"/>
      <c r="J6" s="145"/>
      <c r="K6" s="145"/>
      <c r="L6" s="5"/>
      <c r="M6" s="5"/>
    </row>
    <row r="7" spans="1:20" ht="17.25" customHeight="1" x14ac:dyDescent="0.25">
      <c r="A7" s="12" t="s">
        <v>124</v>
      </c>
      <c r="B7" s="9">
        <f>B3*0.31</f>
        <v>46.5</v>
      </c>
      <c r="C7" s="19">
        <v>25965</v>
      </c>
      <c r="D7" s="20">
        <f>B7*C7</f>
        <v>1207372.5</v>
      </c>
      <c r="E7" s="144"/>
      <c r="F7" s="145"/>
      <c r="G7" s="145"/>
      <c r="H7" s="145"/>
      <c r="I7" s="145"/>
      <c r="J7" s="145"/>
      <c r="K7" s="145"/>
      <c r="L7" s="5"/>
      <c r="M7" s="5"/>
    </row>
    <row r="8" spans="1:20" s="4" customFormat="1" ht="15.75" customHeight="1" thickBot="1" x14ac:dyDescent="0.3">
      <c r="A8" s="30" t="s">
        <v>1</v>
      </c>
      <c r="B8" s="105">
        <f>SUM(B3,B4,B5,B6,B7)</f>
        <v>456</v>
      </c>
      <c r="C8" s="31"/>
      <c r="D8" s="32">
        <f>SUM(D3:D7)</f>
        <v>13625649</v>
      </c>
      <c r="E8" s="144"/>
      <c r="F8" s="145"/>
      <c r="G8" s="145"/>
      <c r="H8" s="145"/>
      <c r="I8" s="145"/>
      <c r="J8" s="145"/>
      <c r="K8" s="145"/>
      <c r="L8" s="6"/>
      <c r="M8" s="6"/>
    </row>
    <row r="9" spans="1:20" s="4" customFormat="1" ht="45.6" customHeight="1" thickBot="1" x14ac:dyDescent="0.3">
      <c r="A9" s="51" t="s">
        <v>17</v>
      </c>
      <c r="B9" s="52">
        <f>B8-B7</f>
        <v>409.5</v>
      </c>
      <c r="C9" s="53"/>
      <c r="D9" s="54"/>
      <c r="E9" s="144"/>
      <c r="F9" s="145"/>
      <c r="G9" s="145"/>
      <c r="H9" s="145"/>
      <c r="I9" s="145"/>
      <c r="J9" s="145"/>
      <c r="K9" s="145"/>
      <c r="L9" s="55"/>
      <c r="M9" s="6"/>
    </row>
    <row r="10" spans="1:20" ht="84" customHeight="1" x14ac:dyDescent="0.25">
      <c r="A10" s="146" t="s">
        <v>125</v>
      </c>
      <c r="B10" s="147"/>
      <c r="C10" s="147"/>
    </row>
    <row r="11" spans="1:20" ht="15.75" thickBot="1" x14ac:dyDescent="0.3">
      <c r="B11" s="3"/>
    </row>
    <row r="12" spans="1:20" s="29" customFormat="1" ht="66.599999999999994" customHeight="1" x14ac:dyDescent="0.25">
      <c r="A12" s="90" t="s">
        <v>64</v>
      </c>
      <c r="B12" s="33" t="s">
        <v>4</v>
      </c>
      <c r="C12" s="33" t="s">
        <v>18</v>
      </c>
      <c r="D12" s="34" t="s">
        <v>5</v>
      </c>
      <c r="E12" s="34" t="s">
        <v>19</v>
      </c>
      <c r="F12" s="35" t="s">
        <v>13</v>
      </c>
      <c r="G12" s="35" t="s">
        <v>20</v>
      </c>
      <c r="H12" s="36" t="s">
        <v>21</v>
      </c>
      <c r="I12" s="37" t="s">
        <v>14</v>
      </c>
      <c r="J12" s="37" t="s">
        <v>22</v>
      </c>
      <c r="K12" s="38" t="s">
        <v>15</v>
      </c>
      <c r="L12"/>
      <c r="M12"/>
      <c r="N12"/>
      <c r="O12"/>
      <c r="P12"/>
      <c r="Q12"/>
      <c r="R12"/>
      <c r="S12"/>
      <c r="T12"/>
    </row>
    <row r="13" spans="1:20" x14ac:dyDescent="0.25">
      <c r="A13" s="1" t="s">
        <v>6</v>
      </c>
      <c r="B13" s="5">
        <v>22759</v>
      </c>
      <c r="C13" s="5">
        <f>B13*B3</f>
        <v>3413850</v>
      </c>
      <c r="D13" s="5">
        <v>3488</v>
      </c>
      <c r="E13" s="5">
        <f>D13*$B$4</f>
        <v>570288</v>
      </c>
      <c r="F13" s="5">
        <v>5570</v>
      </c>
      <c r="G13" s="5">
        <f>F13*$B$5</f>
        <v>451170</v>
      </c>
      <c r="H13" s="5"/>
      <c r="I13" s="5">
        <v>8073</v>
      </c>
      <c r="J13" s="5">
        <f>I13*$B$7</f>
        <v>375394.5</v>
      </c>
      <c r="K13" s="39"/>
    </row>
    <row r="14" spans="1:20" x14ac:dyDescent="0.25">
      <c r="A14" s="1" t="s">
        <v>7</v>
      </c>
      <c r="B14" s="5">
        <v>6419</v>
      </c>
      <c r="C14" s="5">
        <f>B14*B3</f>
        <v>962850</v>
      </c>
      <c r="D14" s="5">
        <v>360</v>
      </c>
      <c r="E14" s="5">
        <f t="shared" ref="E14:E19" si="0">D14*$B$4</f>
        <v>58860</v>
      </c>
      <c r="F14" s="5">
        <v>770</v>
      </c>
      <c r="G14" s="5">
        <f t="shared" ref="G14:G19" si="1">F14*$B$5</f>
        <v>62370</v>
      </c>
      <c r="H14" s="5"/>
      <c r="I14" s="5">
        <v>1773</v>
      </c>
      <c r="J14" s="5">
        <f t="shared" ref="J14:J19" si="2">I14*$B$7</f>
        <v>82444.5</v>
      </c>
      <c r="K14" s="39"/>
    </row>
    <row r="15" spans="1:20" x14ac:dyDescent="0.25">
      <c r="A15" s="1" t="s">
        <v>8</v>
      </c>
      <c r="B15" s="5">
        <v>119</v>
      </c>
      <c r="C15" s="5">
        <f>B15*B3</f>
        <v>17850</v>
      </c>
      <c r="D15" s="5">
        <v>148</v>
      </c>
      <c r="E15" s="5">
        <f t="shared" si="0"/>
        <v>24198</v>
      </c>
      <c r="F15" s="5">
        <v>175</v>
      </c>
      <c r="G15" s="5">
        <f t="shared" si="1"/>
        <v>14175</v>
      </c>
      <c r="H15" s="5"/>
      <c r="I15" s="5">
        <v>124</v>
      </c>
      <c r="J15" s="5">
        <f t="shared" si="2"/>
        <v>5766</v>
      </c>
      <c r="K15" s="39"/>
    </row>
    <row r="16" spans="1:20" x14ac:dyDescent="0.25">
      <c r="A16" s="1" t="s">
        <v>9</v>
      </c>
      <c r="B16" s="5">
        <v>8200</v>
      </c>
      <c r="C16" s="5">
        <f>B16*B3</f>
        <v>1230000</v>
      </c>
      <c r="D16" s="5">
        <v>236</v>
      </c>
      <c r="E16" s="5">
        <f t="shared" si="0"/>
        <v>38586</v>
      </c>
      <c r="F16" s="5">
        <v>1234</v>
      </c>
      <c r="G16" s="5">
        <f t="shared" si="1"/>
        <v>99954</v>
      </c>
      <c r="H16" s="5"/>
      <c r="I16" s="5">
        <v>3353</v>
      </c>
      <c r="J16" s="5">
        <f t="shared" si="2"/>
        <v>155914.5</v>
      </c>
      <c r="K16" s="39"/>
    </row>
    <row r="17" spans="1:20" x14ac:dyDescent="0.25">
      <c r="A17" s="1" t="s">
        <v>10</v>
      </c>
      <c r="B17" s="5">
        <v>15816</v>
      </c>
      <c r="C17" s="5">
        <f>B17*B3</f>
        <v>2372400</v>
      </c>
      <c r="D17" s="5">
        <v>1725</v>
      </c>
      <c r="E17" s="5">
        <f t="shared" si="0"/>
        <v>282037.5</v>
      </c>
      <c r="F17" s="5">
        <v>4356</v>
      </c>
      <c r="G17" s="5">
        <f t="shared" si="1"/>
        <v>352836</v>
      </c>
      <c r="H17" s="5"/>
      <c r="I17" s="5">
        <v>8501</v>
      </c>
      <c r="J17" s="5">
        <f t="shared" si="2"/>
        <v>395296.5</v>
      </c>
      <c r="K17" s="39"/>
    </row>
    <row r="18" spans="1:20" x14ac:dyDescent="0.25">
      <c r="A18" s="1" t="s">
        <v>0</v>
      </c>
      <c r="B18" s="5">
        <v>4018</v>
      </c>
      <c r="C18" s="5">
        <f>B18*B3</f>
        <v>602700</v>
      </c>
      <c r="D18" s="5">
        <v>615</v>
      </c>
      <c r="E18" s="5">
        <f t="shared" si="0"/>
        <v>100552.5</v>
      </c>
      <c r="F18" s="5">
        <v>1592</v>
      </c>
      <c r="G18" s="5">
        <f t="shared" si="1"/>
        <v>128952</v>
      </c>
      <c r="H18" s="5"/>
      <c r="I18" s="5">
        <v>2166</v>
      </c>
      <c r="J18" s="5">
        <f t="shared" si="2"/>
        <v>100719</v>
      </c>
      <c r="K18" s="39"/>
    </row>
    <row r="19" spans="1:20" x14ac:dyDescent="0.25">
      <c r="A19" s="1" t="s">
        <v>2</v>
      </c>
      <c r="B19" s="5">
        <v>2510</v>
      </c>
      <c r="C19" s="5">
        <f>B19*B3</f>
        <v>376500</v>
      </c>
      <c r="D19" s="5">
        <v>1422</v>
      </c>
      <c r="E19" s="5">
        <f t="shared" si="0"/>
        <v>232497</v>
      </c>
      <c r="F19" s="5">
        <v>793</v>
      </c>
      <c r="G19" s="5">
        <f t="shared" si="1"/>
        <v>64233</v>
      </c>
      <c r="H19" s="5"/>
      <c r="I19" s="5">
        <v>1298</v>
      </c>
      <c r="J19" s="5">
        <f t="shared" si="2"/>
        <v>60357</v>
      </c>
      <c r="K19" s="39"/>
    </row>
    <row r="20" spans="1:20" s="4" customFormat="1" x14ac:dyDescent="0.25">
      <c r="A20" s="40" t="s">
        <v>3</v>
      </c>
      <c r="B20" s="6">
        <f t="shared" ref="B20:G20" si="3">SUM(B13:B19)</f>
        <v>59841</v>
      </c>
      <c r="C20" s="6">
        <f t="shared" si="3"/>
        <v>8976150</v>
      </c>
      <c r="D20" s="6">
        <f t="shared" si="3"/>
        <v>7994</v>
      </c>
      <c r="E20" s="6">
        <f t="shared" si="3"/>
        <v>1307019</v>
      </c>
      <c r="F20" s="6">
        <f t="shared" si="3"/>
        <v>14490</v>
      </c>
      <c r="G20" s="6">
        <f t="shared" si="3"/>
        <v>1173690</v>
      </c>
      <c r="H20" s="6"/>
      <c r="I20" s="6">
        <f>SUM(I13:I19)</f>
        <v>25288</v>
      </c>
      <c r="J20" s="6">
        <f>SUM(J13:J19)</f>
        <v>1175892</v>
      </c>
      <c r="K20" s="41"/>
      <c r="N20"/>
      <c r="O20"/>
      <c r="P20"/>
      <c r="Q20"/>
      <c r="R20"/>
      <c r="S20"/>
      <c r="T20"/>
    </row>
    <row r="21" spans="1:20" x14ac:dyDescent="0.25">
      <c r="A21" s="1" t="s">
        <v>11</v>
      </c>
      <c r="B21" s="5">
        <v>1700</v>
      </c>
      <c r="C21" s="5">
        <f>B21*B3</f>
        <v>255000</v>
      </c>
      <c r="D21" s="5">
        <v>123</v>
      </c>
      <c r="E21" s="5">
        <f>D21*B4</f>
        <v>20110.5</v>
      </c>
      <c r="F21" s="5">
        <v>446</v>
      </c>
      <c r="G21" s="5">
        <f>F21*B5</f>
        <v>36126</v>
      </c>
      <c r="H21" s="5"/>
      <c r="I21" s="5">
        <v>678</v>
      </c>
      <c r="J21" s="5">
        <f>I21*B7</f>
        <v>31527</v>
      </c>
      <c r="K21" s="39"/>
    </row>
    <row r="22" spans="1:20" s="4" customFormat="1" x14ac:dyDescent="0.25">
      <c r="A22" s="40" t="s">
        <v>3</v>
      </c>
      <c r="B22" s="6">
        <f t="shared" ref="B22:G22" si="4">SUM(B20:B21)</f>
        <v>61541</v>
      </c>
      <c r="C22" s="6">
        <f t="shared" si="4"/>
        <v>9231150</v>
      </c>
      <c r="D22" s="6">
        <f t="shared" si="4"/>
        <v>8117</v>
      </c>
      <c r="E22" s="6">
        <f t="shared" si="4"/>
        <v>1327129.5</v>
      </c>
      <c r="F22" s="6">
        <f t="shared" si="4"/>
        <v>14936</v>
      </c>
      <c r="G22" s="6">
        <f t="shared" si="4"/>
        <v>1209816</v>
      </c>
      <c r="H22" s="6"/>
      <c r="I22" s="6">
        <f>SUM(I20:I21)</f>
        <v>25966</v>
      </c>
      <c r="J22" s="6">
        <f>SUM(J20:J21)</f>
        <v>1207419</v>
      </c>
      <c r="K22" s="41"/>
      <c r="N22"/>
      <c r="O22"/>
      <c r="P22"/>
      <c r="Q22"/>
      <c r="R22"/>
      <c r="S22"/>
      <c r="T22"/>
    </row>
    <row r="23" spans="1:20" s="4" customFormat="1" x14ac:dyDescent="0.25">
      <c r="A23" s="40" t="s">
        <v>12</v>
      </c>
      <c r="B23" s="47">
        <v>61540</v>
      </c>
      <c r="C23" s="6">
        <f>B23*B3</f>
        <v>9231000</v>
      </c>
      <c r="D23" s="48">
        <v>8117</v>
      </c>
      <c r="E23" s="6">
        <f>D23*B4</f>
        <v>1327129.5</v>
      </c>
      <c r="F23" s="49">
        <v>14937</v>
      </c>
      <c r="G23" s="6">
        <f>F23*B5</f>
        <v>1209897</v>
      </c>
      <c r="H23" s="6"/>
      <c r="I23" s="50">
        <v>25965</v>
      </c>
      <c r="J23" s="6">
        <f>I23*B7</f>
        <v>1207372.5</v>
      </c>
      <c r="K23" s="41"/>
      <c r="N23"/>
      <c r="O23"/>
      <c r="P23"/>
      <c r="Q23"/>
      <c r="R23"/>
      <c r="S23"/>
      <c r="T23"/>
    </row>
    <row r="24" spans="1:20" x14ac:dyDescent="0.25">
      <c r="A24" s="1"/>
      <c r="K24" s="42"/>
    </row>
    <row r="25" spans="1:20" ht="45.75" thickBot="1" x14ac:dyDescent="0.3">
      <c r="A25" s="43" t="s">
        <v>23</v>
      </c>
      <c r="B25" s="44"/>
      <c r="C25" s="44">
        <f>C23</f>
        <v>9231000</v>
      </c>
      <c r="D25" s="44"/>
      <c r="E25" s="44">
        <f>E23</f>
        <v>1327129.5</v>
      </c>
      <c r="F25" s="44"/>
      <c r="G25" s="44">
        <f>G23</f>
        <v>1209897</v>
      </c>
      <c r="H25" s="44">
        <f>D6</f>
        <v>650250</v>
      </c>
      <c r="I25" s="45"/>
      <c r="J25" s="44">
        <f>J23</f>
        <v>1207372.5</v>
      </c>
      <c r="K25" s="46">
        <f>SUM(B25:J25)</f>
        <v>13625649</v>
      </c>
    </row>
    <row r="27" spans="1:20" x14ac:dyDescent="0.25">
      <c r="A27" t="s">
        <v>148</v>
      </c>
    </row>
  </sheetData>
  <mergeCells count="2">
    <mergeCell ref="E4:K9"/>
    <mergeCell ref="A10:C10"/>
  </mergeCells>
  <pageMargins left="0.7" right="0.7" top="0.75" bottom="0.75" header="0.3" footer="0.3"/>
  <pageSetup orientation="portrait" horizontalDpi="4294967293"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F94A9-239C-4B79-BEBC-96243DDB5680}">
  <sheetPr>
    <tabColor rgb="FF0070C0"/>
  </sheetPr>
  <dimension ref="A1:T34"/>
  <sheetViews>
    <sheetView zoomScale="90" zoomScaleNormal="90" workbookViewId="0">
      <selection activeCell="A24" sqref="A24"/>
    </sheetView>
  </sheetViews>
  <sheetFormatPr defaultRowHeight="15" x14ac:dyDescent="0.25"/>
  <cols>
    <col min="1" max="1" width="59.140625" customWidth="1"/>
    <col min="2" max="2" width="26.140625" customWidth="1"/>
    <col min="3" max="3" width="8.5703125" customWidth="1"/>
    <col min="4" max="4" width="12.140625" customWidth="1"/>
    <col min="5" max="5" width="20.42578125" customWidth="1"/>
    <col min="6" max="6" width="19.140625" customWidth="1"/>
    <col min="7" max="7" width="18.5703125" customWidth="1"/>
    <col min="11" max="11" width="19.28515625" customWidth="1"/>
    <col min="12" max="12" width="19.85546875" customWidth="1"/>
    <col min="13" max="14" width="9.42578125" bestFit="1" customWidth="1"/>
    <col min="15" max="15" width="14.85546875" customWidth="1"/>
    <col min="19" max="19" width="12.85546875" customWidth="1"/>
    <col min="20" max="20" width="20.5703125" customWidth="1"/>
  </cols>
  <sheetData>
    <row r="1" spans="1:20" ht="31.5" x14ac:dyDescent="0.25">
      <c r="A1" s="133" t="s">
        <v>128</v>
      </c>
      <c r="B1" s="136">
        <v>350</v>
      </c>
    </row>
    <row r="2" spans="1:20" ht="31.5" x14ac:dyDescent="0.25">
      <c r="A2" s="132" t="s">
        <v>114</v>
      </c>
      <c r="B2" s="137">
        <f>'Num &amp; costs of fractures'!B8</f>
        <v>456</v>
      </c>
    </row>
    <row r="3" spans="1:20" ht="53.25" customHeight="1" x14ac:dyDescent="0.25">
      <c r="A3" s="138" t="s">
        <v>129</v>
      </c>
      <c r="B3" s="139">
        <f>'Num &amp; costs of fractures'!B8*0.8</f>
        <v>364.8</v>
      </c>
    </row>
    <row r="4" spans="1:20" ht="15.75" x14ac:dyDescent="0.25">
      <c r="A4" s="94"/>
    </row>
    <row r="5" spans="1:20" ht="15.75" x14ac:dyDescent="0.25">
      <c r="A5" s="95" t="s">
        <v>26</v>
      </c>
      <c r="B5" s="69">
        <f>B3/B1</f>
        <v>1.0422857142857143</v>
      </c>
    </row>
    <row r="6" spans="1:20" ht="15.75" x14ac:dyDescent="0.25">
      <c r="A6" s="95" t="s">
        <v>38</v>
      </c>
      <c r="B6" s="68">
        <f>B5*0.2</f>
        <v>0.20845714285714287</v>
      </c>
    </row>
    <row r="7" spans="1:20" ht="16.5" thickBot="1" x14ac:dyDescent="0.3">
      <c r="A7" s="94"/>
    </row>
    <row r="8" spans="1:20" ht="47.25" x14ac:dyDescent="0.25">
      <c r="A8" s="96" t="s">
        <v>49</v>
      </c>
      <c r="B8" s="59" t="s">
        <v>27</v>
      </c>
      <c r="C8" s="59" t="s">
        <v>28</v>
      </c>
      <c r="D8" s="59" t="s">
        <v>29</v>
      </c>
      <c r="E8" s="59" t="s">
        <v>30</v>
      </c>
      <c r="F8" s="59" t="s">
        <v>31</v>
      </c>
      <c r="G8" s="77" t="s">
        <v>32</v>
      </c>
      <c r="J8" s="164" t="s">
        <v>40</v>
      </c>
      <c r="K8" s="185" t="s">
        <v>133</v>
      </c>
      <c r="L8" s="185" t="s">
        <v>134</v>
      </c>
      <c r="M8" s="185" t="s">
        <v>135</v>
      </c>
      <c r="N8" s="185" t="s">
        <v>136</v>
      </c>
      <c r="O8" s="185" t="s">
        <v>41</v>
      </c>
      <c r="P8" s="179" t="s">
        <v>42</v>
      </c>
      <c r="Q8" s="182" t="s">
        <v>138</v>
      </c>
      <c r="R8" s="148" t="s">
        <v>139</v>
      </c>
      <c r="S8" s="148" t="s">
        <v>140</v>
      </c>
      <c r="T8" s="151" t="s">
        <v>37</v>
      </c>
    </row>
    <row r="9" spans="1:20" ht="15.75" x14ac:dyDescent="0.25">
      <c r="A9" s="94"/>
      <c r="G9" s="78"/>
      <c r="J9" s="163"/>
      <c r="K9" s="186"/>
      <c r="L9" s="186"/>
      <c r="M9" s="186"/>
      <c r="N9" s="186"/>
      <c r="O9" s="186"/>
      <c r="P9" s="180"/>
      <c r="Q9" s="183"/>
      <c r="R9" s="149"/>
      <c r="S9" s="149"/>
      <c r="T9" s="152"/>
    </row>
    <row r="10" spans="1:20" ht="15.75" x14ac:dyDescent="0.25">
      <c r="A10" s="97" t="s">
        <v>48</v>
      </c>
      <c r="B10" s="84">
        <v>100000</v>
      </c>
      <c r="C10" s="85">
        <v>0.2</v>
      </c>
      <c r="D10" s="5">
        <f>(B10*C10)+B10</f>
        <v>120000</v>
      </c>
      <c r="E10" s="67">
        <f>ROUND(B5,1)</f>
        <v>1</v>
      </c>
      <c r="F10" s="60">
        <f>D10*E10</f>
        <v>120000</v>
      </c>
      <c r="G10" s="61">
        <f>F10*8</f>
        <v>960000</v>
      </c>
      <c r="J10" s="163"/>
      <c r="K10" s="186"/>
      <c r="L10" s="186"/>
      <c r="M10" s="186"/>
      <c r="N10" s="186"/>
      <c r="O10" s="186"/>
      <c r="P10" s="180"/>
      <c r="Q10" s="183"/>
      <c r="R10" s="149"/>
      <c r="S10" s="149"/>
      <c r="T10" s="152"/>
    </row>
    <row r="11" spans="1:20" ht="30" customHeight="1" thickBot="1" x14ac:dyDescent="0.3">
      <c r="A11" s="98" t="s">
        <v>33</v>
      </c>
      <c r="B11" s="84">
        <v>50000</v>
      </c>
      <c r="C11" s="85">
        <f>C10</f>
        <v>0.2</v>
      </c>
      <c r="D11" s="5">
        <f>(B11*C11)+B11</f>
        <v>60000</v>
      </c>
      <c r="E11" s="67">
        <f>ROUND(B6,1)</f>
        <v>0.2</v>
      </c>
      <c r="F11" s="60">
        <f>D11*E11</f>
        <v>12000</v>
      </c>
      <c r="G11" s="61">
        <f>F11*8</f>
        <v>96000</v>
      </c>
      <c r="J11" s="163"/>
      <c r="K11" s="188"/>
      <c r="L11" s="188"/>
      <c r="M11" s="186"/>
      <c r="N11" s="186"/>
      <c r="O11" s="186"/>
      <c r="P11" s="180"/>
      <c r="Q11" s="183"/>
      <c r="R11" s="149"/>
      <c r="S11" s="149"/>
      <c r="T11" s="152"/>
    </row>
    <row r="12" spans="1:20" ht="16.5" thickBot="1" x14ac:dyDescent="0.3">
      <c r="A12" s="97" t="s">
        <v>130</v>
      </c>
      <c r="B12" s="62">
        <f>140*4*12</f>
        <v>6720</v>
      </c>
      <c r="E12" s="67">
        <f>ROUND(B5,1)</f>
        <v>1</v>
      </c>
      <c r="F12" s="76">
        <f>B12*E12</f>
        <v>6720</v>
      </c>
      <c r="G12" s="61">
        <f>F12*8</f>
        <v>53760</v>
      </c>
      <c r="J12" s="163"/>
      <c r="K12" s="75">
        <f>B5</f>
        <v>1.0422857142857143</v>
      </c>
      <c r="L12" s="75">
        <f>B6</f>
        <v>0.20845714285714287</v>
      </c>
      <c r="M12" s="187"/>
      <c r="N12" s="187"/>
      <c r="O12" s="187"/>
      <c r="P12" s="181"/>
      <c r="Q12" s="184"/>
      <c r="R12" s="150"/>
      <c r="S12" s="150"/>
      <c r="T12" s="153"/>
    </row>
    <row r="13" spans="1:20" ht="15.75" x14ac:dyDescent="0.25">
      <c r="A13" s="99" t="s">
        <v>46</v>
      </c>
      <c r="B13" s="62">
        <v>8000</v>
      </c>
      <c r="E13" s="67">
        <f>ROUND(B5,1)</f>
        <v>1</v>
      </c>
      <c r="F13" s="60">
        <f>B13*E13</f>
        <v>8000</v>
      </c>
      <c r="G13" s="61">
        <f>F13*8</f>
        <v>64000</v>
      </c>
      <c r="J13" s="72"/>
      <c r="K13" s="156">
        <f>F10</f>
        <v>120000</v>
      </c>
      <c r="L13" s="156">
        <f>F11</f>
        <v>12000</v>
      </c>
      <c r="M13" s="156">
        <f>F12</f>
        <v>6720</v>
      </c>
      <c r="N13" s="156">
        <f>F13</f>
        <v>8000</v>
      </c>
      <c r="O13" s="169">
        <f>F15</f>
        <v>146720</v>
      </c>
      <c r="P13" s="172"/>
      <c r="Q13" s="173"/>
      <c r="R13" s="173"/>
      <c r="S13" s="174"/>
      <c r="T13" s="162" t="s">
        <v>44</v>
      </c>
    </row>
    <row r="14" spans="1:20" ht="15.75" x14ac:dyDescent="0.25">
      <c r="A14" s="100"/>
      <c r="G14" s="42"/>
      <c r="J14" s="73" t="s">
        <v>43</v>
      </c>
      <c r="K14" s="167"/>
      <c r="L14" s="168"/>
      <c r="M14" s="168"/>
      <c r="N14" s="168"/>
      <c r="O14" s="170"/>
      <c r="P14" s="175"/>
      <c r="Q14" s="173"/>
      <c r="R14" s="173"/>
      <c r="S14" s="174"/>
      <c r="T14" s="163"/>
    </row>
    <row r="15" spans="1:20" ht="16.5" thickBot="1" x14ac:dyDescent="0.3">
      <c r="A15" s="101" t="s">
        <v>34</v>
      </c>
      <c r="B15" s="70"/>
      <c r="C15" s="70"/>
      <c r="D15" s="70"/>
      <c r="E15" s="70"/>
      <c r="F15" s="71">
        <f>SUM(F10:F13)</f>
        <v>146720</v>
      </c>
      <c r="G15" s="70"/>
      <c r="J15" s="74"/>
      <c r="K15" s="155"/>
      <c r="L15" s="157"/>
      <c r="M15" s="157"/>
      <c r="N15" s="157"/>
      <c r="O15" s="171"/>
      <c r="P15" s="176"/>
      <c r="Q15" s="177"/>
      <c r="R15" s="177"/>
      <c r="S15" s="178"/>
      <c r="T15" s="161"/>
    </row>
    <row r="16" spans="1:20" ht="18" customHeight="1" x14ac:dyDescent="0.25">
      <c r="A16" s="101" t="s">
        <v>35</v>
      </c>
      <c r="B16" s="70"/>
      <c r="C16" s="70"/>
      <c r="D16" s="70"/>
      <c r="E16" s="70"/>
      <c r="F16" s="70"/>
      <c r="G16" s="71">
        <f>SUM(G10:G13)</f>
        <v>1173760</v>
      </c>
      <c r="J16" s="160" t="s">
        <v>45</v>
      </c>
      <c r="K16" s="156">
        <f>G10</f>
        <v>960000</v>
      </c>
      <c r="L16" s="156">
        <f>G11</f>
        <v>96000</v>
      </c>
      <c r="M16" s="156">
        <f>G12</f>
        <v>53760</v>
      </c>
      <c r="N16" s="156">
        <f>G13</f>
        <v>64000</v>
      </c>
      <c r="O16" s="165">
        <f>G16</f>
        <v>1173760</v>
      </c>
      <c r="P16" s="160" t="s">
        <v>45</v>
      </c>
      <c r="Q16" s="154">
        <f>B23</f>
        <v>32</v>
      </c>
      <c r="R16" s="154">
        <f>B25</f>
        <v>544</v>
      </c>
      <c r="S16" s="156">
        <f>B27</f>
        <v>1969280</v>
      </c>
      <c r="T16" s="158">
        <f>B29</f>
        <v>795520</v>
      </c>
    </row>
    <row r="17" spans="1:20" ht="16.5" thickBot="1" x14ac:dyDescent="0.3">
      <c r="A17" s="100"/>
      <c r="G17" s="42"/>
      <c r="J17" s="161"/>
      <c r="K17" s="157"/>
      <c r="L17" s="157"/>
      <c r="M17" s="157"/>
      <c r="N17" s="157"/>
      <c r="O17" s="166"/>
      <c r="P17" s="161"/>
      <c r="Q17" s="155"/>
      <c r="R17" s="155"/>
      <c r="S17" s="157"/>
      <c r="T17" s="159"/>
    </row>
    <row r="18" spans="1:20" ht="15.75" x14ac:dyDescent="0.25">
      <c r="A18" s="100"/>
      <c r="G18" s="42"/>
      <c r="T18" s="65"/>
    </row>
    <row r="19" spans="1:20" ht="31.5" x14ac:dyDescent="0.25">
      <c r="A19" s="102" t="s">
        <v>36</v>
      </c>
      <c r="B19" s="106">
        <f>B3</f>
        <v>364.8</v>
      </c>
      <c r="G19" s="42"/>
    </row>
    <row r="20" spans="1:20" ht="15.75" x14ac:dyDescent="0.25">
      <c r="A20" s="103" t="s">
        <v>39</v>
      </c>
      <c r="B20" s="106">
        <f>B19*8</f>
        <v>2918.4</v>
      </c>
      <c r="G20" s="42"/>
    </row>
    <row r="21" spans="1:20" ht="15.75" x14ac:dyDescent="0.25">
      <c r="A21" s="100"/>
      <c r="B21" s="94"/>
      <c r="G21" s="42"/>
    </row>
    <row r="22" spans="1:20" ht="18" x14ac:dyDescent="0.25">
      <c r="A22" s="100" t="s">
        <v>74</v>
      </c>
      <c r="B22" s="107">
        <f>(11*B20)/1000</f>
        <v>32.102400000000003</v>
      </c>
      <c r="G22" s="42"/>
    </row>
    <row r="23" spans="1:20" ht="15.75" x14ac:dyDescent="0.25">
      <c r="A23" s="100" t="s">
        <v>50</v>
      </c>
      <c r="B23" s="108">
        <f>ROUND(B22,0)</f>
        <v>32</v>
      </c>
      <c r="G23" s="42"/>
    </row>
    <row r="24" spans="1:20" ht="15.75" x14ac:dyDescent="0.25">
      <c r="A24" s="100" t="s">
        <v>150</v>
      </c>
      <c r="B24" s="109">
        <v>61540</v>
      </c>
      <c r="G24" s="42"/>
    </row>
    <row r="25" spans="1:20" ht="15.75" x14ac:dyDescent="0.25">
      <c r="A25" s="100" t="s">
        <v>51</v>
      </c>
      <c r="B25" s="108">
        <f>B23*17</f>
        <v>544</v>
      </c>
      <c r="G25" s="42"/>
    </row>
    <row r="26" spans="1:20" ht="15.75" x14ac:dyDescent="0.25">
      <c r="A26" s="100"/>
      <c r="B26" s="94"/>
      <c r="G26" s="42"/>
    </row>
    <row r="27" spans="1:20" ht="15.75" x14ac:dyDescent="0.25">
      <c r="A27" s="100" t="s">
        <v>52</v>
      </c>
      <c r="B27" s="110">
        <f>B24*B23</f>
        <v>1969280</v>
      </c>
      <c r="G27" s="42"/>
    </row>
    <row r="28" spans="1:20" ht="15.75" x14ac:dyDescent="0.25">
      <c r="A28" s="100"/>
      <c r="B28" s="94"/>
      <c r="G28" s="42"/>
    </row>
    <row r="29" spans="1:20" ht="16.5" thickBot="1" x14ac:dyDescent="0.3">
      <c r="A29" s="104" t="s">
        <v>37</v>
      </c>
      <c r="B29" s="111">
        <f>B27-G16</f>
        <v>795520</v>
      </c>
      <c r="C29" s="63"/>
      <c r="D29" s="63"/>
      <c r="E29" s="63"/>
      <c r="F29" s="63"/>
      <c r="G29" s="64"/>
    </row>
    <row r="30" spans="1:20" x14ac:dyDescent="0.25">
      <c r="L30" s="79"/>
    </row>
    <row r="31" spans="1:20" x14ac:dyDescent="0.25">
      <c r="L31" s="79"/>
    </row>
    <row r="32" spans="1:20" x14ac:dyDescent="0.25">
      <c r="L32" s="79"/>
    </row>
    <row r="33" spans="5:6" x14ac:dyDescent="0.25">
      <c r="E33" s="79"/>
      <c r="F33" s="80"/>
    </row>
    <row r="34" spans="5:6" x14ac:dyDescent="0.25">
      <c r="E34" s="79"/>
    </row>
  </sheetData>
  <mergeCells count="29">
    <mergeCell ref="P8:P12"/>
    <mergeCell ref="Q8:Q12"/>
    <mergeCell ref="M8:M12"/>
    <mergeCell ref="K8:K11"/>
    <mergeCell ref="L8:L11"/>
    <mergeCell ref="N8:N12"/>
    <mergeCell ref="O8:O12"/>
    <mergeCell ref="J16:J17"/>
    <mergeCell ref="P16:P17"/>
    <mergeCell ref="T13:T15"/>
    <mergeCell ref="J8:J12"/>
    <mergeCell ref="K16:K17"/>
    <mergeCell ref="L16:L17"/>
    <mergeCell ref="M16:M17"/>
    <mergeCell ref="N16:N17"/>
    <mergeCell ref="O16:O17"/>
    <mergeCell ref="Q16:Q17"/>
    <mergeCell ref="K13:K15"/>
    <mergeCell ref="L13:L15"/>
    <mergeCell ref="M13:M15"/>
    <mergeCell ref="N13:N15"/>
    <mergeCell ref="O13:O15"/>
    <mergeCell ref="P13:S15"/>
    <mergeCell ref="R8:R12"/>
    <mergeCell ref="S8:S12"/>
    <mergeCell ref="T8:T12"/>
    <mergeCell ref="R16:R17"/>
    <mergeCell ref="S16:S17"/>
    <mergeCell ref="T16:T17"/>
  </mergeCells>
  <pageMargins left="0.7" right="0.7" top="0.75" bottom="0.75" header="0.3" footer="0.3"/>
  <pageSetup orientation="portrait" horizontalDpi="4294967293"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EB013-B852-47F3-A447-227B4F1C93D8}">
  <sheetPr>
    <tabColor rgb="FF7030A0"/>
  </sheetPr>
  <dimension ref="A1:T36"/>
  <sheetViews>
    <sheetView topLeftCell="A4" zoomScale="90" zoomScaleNormal="90" workbookViewId="0">
      <selection activeCell="A26" sqref="A26"/>
    </sheetView>
  </sheetViews>
  <sheetFormatPr defaultRowHeight="15" x14ac:dyDescent="0.25"/>
  <cols>
    <col min="1" max="1" width="58.85546875" customWidth="1"/>
    <col min="2" max="2" width="26.140625" customWidth="1"/>
    <col min="3" max="3" width="8.5703125" customWidth="1"/>
    <col min="4" max="4" width="12.140625" customWidth="1"/>
    <col min="5" max="5" width="20.42578125" customWidth="1"/>
    <col min="6" max="6" width="19.140625" customWidth="1"/>
    <col min="7" max="7" width="18.5703125" customWidth="1"/>
    <col min="11" max="11" width="18.7109375" customWidth="1"/>
    <col min="12" max="12" width="19.85546875" customWidth="1"/>
    <col min="13" max="14" width="9.42578125" bestFit="1" customWidth="1"/>
    <col min="15" max="15" width="14.85546875" customWidth="1"/>
    <col min="19" max="19" width="12.85546875" customWidth="1"/>
    <col min="20" max="20" width="20.5703125" customWidth="1"/>
  </cols>
  <sheetData>
    <row r="1" spans="1:20" ht="47.25" x14ac:dyDescent="0.25">
      <c r="A1" s="133" t="s">
        <v>141</v>
      </c>
      <c r="B1" s="134">
        <v>350</v>
      </c>
    </row>
    <row r="2" spans="1:20" ht="31.5" x14ac:dyDescent="0.25">
      <c r="A2" s="132" t="s">
        <v>142</v>
      </c>
      <c r="B2" s="135">
        <f>'Num &amp; costs of fractures'!B3</f>
        <v>150</v>
      </c>
    </row>
    <row r="3" spans="1:20" ht="49.5" customHeight="1" x14ac:dyDescent="0.25">
      <c r="A3" s="140" t="s">
        <v>143</v>
      </c>
      <c r="B3" s="141">
        <f>'Num &amp; costs of fractures'!B3*0.8</f>
        <v>120</v>
      </c>
    </row>
    <row r="4" spans="1:20" ht="15.75" x14ac:dyDescent="0.25">
      <c r="A4" s="94"/>
    </row>
    <row r="5" spans="1:20" ht="15.75" x14ac:dyDescent="0.25">
      <c r="A5" s="95" t="s">
        <v>26</v>
      </c>
      <c r="B5" s="69">
        <f>B3/B1</f>
        <v>0.34285714285714286</v>
      </c>
    </row>
    <row r="6" spans="1:20" ht="15.75" x14ac:dyDescent="0.25">
      <c r="A6" s="95" t="s">
        <v>38</v>
      </c>
      <c r="B6" s="68">
        <f>B5*0.2</f>
        <v>6.8571428571428575E-2</v>
      </c>
    </row>
    <row r="7" spans="1:20" ht="16.5" thickBot="1" x14ac:dyDescent="0.3">
      <c r="A7" s="94"/>
    </row>
    <row r="8" spans="1:20" ht="47.25" x14ac:dyDescent="0.25">
      <c r="A8" s="96" t="s">
        <v>49</v>
      </c>
      <c r="B8" s="59" t="s">
        <v>149</v>
      </c>
      <c r="C8" s="59" t="s">
        <v>28</v>
      </c>
      <c r="D8" s="59" t="s">
        <v>29</v>
      </c>
      <c r="E8" s="59" t="s">
        <v>30</v>
      </c>
      <c r="F8" s="59" t="s">
        <v>31</v>
      </c>
      <c r="G8" s="77" t="s">
        <v>32</v>
      </c>
      <c r="J8" s="164" t="s">
        <v>40</v>
      </c>
      <c r="K8" s="185" t="s">
        <v>133</v>
      </c>
      <c r="L8" s="185" t="s">
        <v>144</v>
      </c>
      <c r="M8" s="185" t="s">
        <v>135</v>
      </c>
      <c r="N8" s="185" t="s">
        <v>136</v>
      </c>
      <c r="O8" s="185" t="s">
        <v>41</v>
      </c>
      <c r="P8" s="179" t="s">
        <v>42</v>
      </c>
      <c r="Q8" s="182" t="s">
        <v>138</v>
      </c>
      <c r="R8" s="148" t="s">
        <v>139</v>
      </c>
      <c r="S8" s="148" t="s">
        <v>145</v>
      </c>
      <c r="T8" s="151" t="s">
        <v>37</v>
      </c>
    </row>
    <row r="9" spans="1:20" ht="15.75" x14ac:dyDescent="0.25">
      <c r="A9" s="94"/>
      <c r="G9" s="78"/>
      <c r="J9" s="163"/>
      <c r="K9" s="186"/>
      <c r="L9" s="186"/>
      <c r="M9" s="186"/>
      <c r="N9" s="186"/>
      <c r="O9" s="186"/>
      <c r="P9" s="180"/>
      <c r="Q9" s="183"/>
      <c r="R9" s="149"/>
      <c r="S9" s="149"/>
      <c r="T9" s="152"/>
    </row>
    <row r="10" spans="1:20" ht="15.75" x14ac:dyDescent="0.25">
      <c r="A10" s="97" t="s">
        <v>48</v>
      </c>
      <c r="B10" s="84">
        <v>100000</v>
      </c>
      <c r="C10" s="85">
        <v>0.2</v>
      </c>
      <c r="D10" s="5">
        <f>(B10*C10)+B10</f>
        <v>120000</v>
      </c>
      <c r="E10" s="67">
        <f>ROUND(B5,1)</f>
        <v>0.3</v>
      </c>
      <c r="F10" s="60">
        <f>D10*E10</f>
        <v>36000</v>
      </c>
      <c r="G10" s="61">
        <f>F10*8</f>
        <v>288000</v>
      </c>
      <c r="J10" s="163"/>
      <c r="K10" s="186"/>
      <c r="L10" s="186"/>
      <c r="M10" s="186"/>
      <c r="N10" s="186"/>
      <c r="O10" s="186"/>
      <c r="P10" s="180"/>
      <c r="Q10" s="183"/>
      <c r="R10" s="149"/>
      <c r="S10" s="149"/>
      <c r="T10" s="152"/>
    </row>
    <row r="11" spans="1:20" ht="30" customHeight="1" thickBot="1" x14ac:dyDescent="0.3">
      <c r="A11" s="98" t="s">
        <v>33</v>
      </c>
      <c r="B11" s="84">
        <v>50000</v>
      </c>
      <c r="C11" s="85">
        <f>C10</f>
        <v>0.2</v>
      </c>
      <c r="D11" s="5">
        <f>(B11*C11)+B11</f>
        <v>60000</v>
      </c>
      <c r="E11" s="67">
        <f>ROUND(B6,1)</f>
        <v>0.1</v>
      </c>
      <c r="F11" s="60">
        <f>D11*E11</f>
        <v>6000</v>
      </c>
      <c r="G11" s="61">
        <f>F11*8</f>
        <v>48000</v>
      </c>
      <c r="J11" s="163"/>
      <c r="K11" s="188"/>
      <c r="L11" s="188"/>
      <c r="M11" s="186"/>
      <c r="N11" s="186"/>
      <c r="O11" s="186"/>
      <c r="P11" s="180"/>
      <c r="Q11" s="183"/>
      <c r="R11" s="149"/>
      <c r="S11" s="149"/>
      <c r="T11" s="152"/>
    </row>
    <row r="12" spans="1:20" ht="16.5" thickBot="1" x14ac:dyDescent="0.3">
      <c r="A12" s="97" t="s">
        <v>130</v>
      </c>
      <c r="B12" s="62">
        <f>140*4*12</f>
        <v>6720</v>
      </c>
      <c r="E12" s="67">
        <f>ROUND(B5,1)</f>
        <v>0.3</v>
      </c>
      <c r="F12" s="76">
        <f>B12*E12</f>
        <v>2016</v>
      </c>
      <c r="G12" s="61">
        <f>F12*8</f>
        <v>16128</v>
      </c>
      <c r="J12" s="163"/>
      <c r="K12" s="75">
        <f>B5</f>
        <v>0.34285714285714286</v>
      </c>
      <c r="L12" s="75">
        <f>B6</f>
        <v>6.8571428571428575E-2</v>
      </c>
      <c r="M12" s="187"/>
      <c r="N12" s="187"/>
      <c r="O12" s="187"/>
      <c r="P12" s="181"/>
      <c r="Q12" s="184"/>
      <c r="R12" s="150"/>
      <c r="S12" s="150"/>
      <c r="T12" s="153"/>
    </row>
    <row r="13" spans="1:20" ht="15.75" x14ac:dyDescent="0.25">
      <c r="A13" s="99" t="s">
        <v>46</v>
      </c>
      <c r="B13" s="62">
        <v>8000</v>
      </c>
      <c r="E13" s="67">
        <f>ROUND(B5,1)</f>
        <v>0.3</v>
      </c>
      <c r="F13" s="60">
        <f>B13*E13</f>
        <v>2400</v>
      </c>
      <c r="G13" s="61">
        <f>F13*8</f>
        <v>19200</v>
      </c>
      <c r="J13" s="72"/>
      <c r="K13" s="156">
        <f>F10</f>
        <v>36000</v>
      </c>
      <c r="L13" s="156">
        <f>F11</f>
        <v>6000</v>
      </c>
      <c r="M13" s="156">
        <f>F12</f>
        <v>2016</v>
      </c>
      <c r="N13" s="156">
        <f>F13</f>
        <v>2400</v>
      </c>
      <c r="O13" s="169">
        <f>F15</f>
        <v>46416</v>
      </c>
      <c r="P13" s="172"/>
      <c r="Q13" s="173"/>
      <c r="R13" s="173"/>
      <c r="S13" s="174"/>
      <c r="T13" s="162" t="s">
        <v>44</v>
      </c>
    </row>
    <row r="14" spans="1:20" ht="15.75" x14ac:dyDescent="0.25">
      <c r="A14" s="100"/>
      <c r="G14" s="42"/>
      <c r="J14" s="73" t="s">
        <v>43</v>
      </c>
      <c r="K14" s="167"/>
      <c r="L14" s="168"/>
      <c r="M14" s="168"/>
      <c r="N14" s="168"/>
      <c r="O14" s="170"/>
      <c r="P14" s="175"/>
      <c r="Q14" s="173"/>
      <c r="R14" s="173"/>
      <c r="S14" s="174"/>
      <c r="T14" s="163"/>
    </row>
    <row r="15" spans="1:20" ht="16.5" thickBot="1" x14ac:dyDescent="0.3">
      <c r="A15" s="101" t="s">
        <v>34</v>
      </c>
      <c r="B15" s="70"/>
      <c r="C15" s="70"/>
      <c r="D15" s="70"/>
      <c r="E15" s="70"/>
      <c r="F15" s="71">
        <f>SUM(F10:F13)</f>
        <v>46416</v>
      </c>
      <c r="G15" s="70"/>
      <c r="J15" s="74"/>
      <c r="K15" s="155"/>
      <c r="L15" s="157"/>
      <c r="M15" s="157"/>
      <c r="N15" s="157"/>
      <c r="O15" s="171"/>
      <c r="P15" s="176"/>
      <c r="Q15" s="177"/>
      <c r="R15" s="177"/>
      <c r="S15" s="178"/>
      <c r="T15" s="161"/>
    </row>
    <row r="16" spans="1:20" ht="18" customHeight="1" x14ac:dyDescent="0.25">
      <c r="A16" s="101" t="s">
        <v>35</v>
      </c>
      <c r="B16" s="70"/>
      <c r="C16" s="70"/>
      <c r="D16" s="70"/>
      <c r="E16" s="70"/>
      <c r="F16" s="70"/>
      <c r="G16" s="71">
        <f>SUM(G10:G13)</f>
        <v>371328</v>
      </c>
      <c r="J16" s="160" t="s">
        <v>45</v>
      </c>
      <c r="K16" s="156">
        <f>G10</f>
        <v>288000</v>
      </c>
      <c r="L16" s="156">
        <f>G11</f>
        <v>48000</v>
      </c>
      <c r="M16" s="156">
        <f>G12</f>
        <v>16128</v>
      </c>
      <c r="N16" s="156">
        <f>G13</f>
        <v>19200</v>
      </c>
      <c r="O16" s="165">
        <f>G16</f>
        <v>371328</v>
      </c>
      <c r="P16" s="160" t="s">
        <v>45</v>
      </c>
      <c r="Q16" s="154">
        <f>B23</f>
        <v>12</v>
      </c>
      <c r="R16" s="154">
        <f>B27</f>
        <v>204</v>
      </c>
      <c r="S16" s="156">
        <f>B29</f>
        <v>738480</v>
      </c>
      <c r="T16" s="158">
        <f>B31</f>
        <v>367152</v>
      </c>
    </row>
    <row r="17" spans="1:20" ht="16.5" thickBot="1" x14ac:dyDescent="0.3">
      <c r="A17" s="100"/>
      <c r="G17" s="42"/>
      <c r="J17" s="161"/>
      <c r="K17" s="157"/>
      <c r="L17" s="157"/>
      <c r="M17" s="157"/>
      <c r="N17" s="157"/>
      <c r="O17" s="166"/>
      <c r="P17" s="161"/>
      <c r="Q17" s="155"/>
      <c r="R17" s="155"/>
      <c r="S17" s="157"/>
      <c r="T17" s="159"/>
    </row>
    <row r="18" spans="1:20" ht="15.75" x14ac:dyDescent="0.25">
      <c r="A18" s="100"/>
      <c r="G18" s="42"/>
      <c r="T18" s="65"/>
    </row>
    <row r="19" spans="1:20" ht="31.5" x14ac:dyDescent="0.25">
      <c r="A19" s="102" t="s">
        <v>36</v>
      </c>
      <c r="B19" s="106">
        <f>B3</f>
        <v>120</v>
      </c>
      <c r="G19" s="42"/>
    </row>
    <row r="20" spans="1:20" ht="15.75" x14ac:dyDescent="0.25">
      <c r="A20" s="103" t="s">
        <v>39</v>
      </c>
      <c r="B20" s="106">
        <f>B19*8</f>
        <v>960</v>
      </c>
      <c r="G20" s="42"/>
    </row>
    <row r="21" spans="1:20" ht="15.75" x14ac:dyDescent="0.25">
      <c r="A21" s="100"/>
      <c r="B21" s="94"/>
      <c r="G21" s="42"/>
    </row>
    <row r="22" spans="1:20" ht="18" x14ac:dyDescent="0.25">
      <c r="A22" s="100" t="s">
        <v>74</v>
      </c>
      <c r="B22" s="107">
        <f>(12*B20)/1000</f>
        <v>11.52</v>
      </c>
      <c r="G22" s="42"/>
    </row>
    <row r="23" spans="1:20" ht="18" x14ac:dyDescent="0.25">
      <c r="A23" s="100" t="s">
        <v>75</v>
      </c>
      <c r="B23" s="108">
        <f>ROUND(B22,0)</f>
        <v>12</v>
      </c>
      <c r="G23" s="42"/>
    </row>
    <row r="24" spans="1:20" ht="15.75" x14ac:dyDescent="0.25">
      <c r="A24" s="100"/>
      <c r="B24" s="108"/>
      <c r="G24" s="42"/>
    </row>
    <row r="25" spans="1:20" ht="15.75" x14ac:dyDescent="0.25">
      <c r="A25" s="100"/>
      <c r="B25" s="108"/>
      <c r="G25" s="42"/>
    </row>
    <row r="26" spans="1:20" ht="15.75" x14ac:dyDescent="0.25">
      <c r="A26" s="100" t="s">
        <v>150</v>
      </c>
      <c r="B26" s="109">
        <v>61540</v>
      </c>
      <c r="G26" s="42"/>
    </row>
    <row r="27" spans="1:20" ht="15.75" x14ac:dyDescent="0.25">
      <c r="A27" s="100" t="s">
        <v>51</v>
      </c>
      <c r="B27" s="108">
        <f>B23*17</f>
        <v>204</v>
      </c>
      <c r="G27" s="42"/>
    </row>
    <row r="28" spans="1:20" ht="15.75" x14ac:dyDescent="0.25">
      <c r="A28" s="100"/>
      <c r="B28" s="94"/>
      <c r="G28" s="42"/>
    </row>
    <row r="29" spans="1:20" ht="15.75" x14ac:dyDescent="0.25">
      <c r="A29" s="100" t="s">
        <v>52</v>
      </c>
      <c r="B29" s="110">
        <f>B26*B23</f>
        <v>738480</v>
      </c>
      <c r="G29" s="42"/>
    </row>
    <row r="30" spans="1:20" ht="15.75" x14ac:dyDescent="0.25">
      <c r="A30" s="100"/>
      <c r="G30" s="42"/>
    </row>
    <row r="31" spans="1:20" ht="16.5" thickBot="1" x14ac:dyDescent="0.3">
      <c r="A31" s="104" t="s">
        <v>37</v>
      </c>
      <c r="B31" s="66">
        <f>B29-G16</f>
        <v>367152</v>
      </c>
      <c r="C31" s="63"/>
      <c r="D31" s="63"/>
      <c r="E31" s="63"/>
      <c r="F31" s="63"/>
      <c r="G31" s="64"/>
    </row>
    <row r="32" spans="1:20" x14ac:dyDescent="0.25">
      <c r="L32" s="79"/>
    </row>
    <row r="33" spans="5:12" x14ac:dyDescent="0.25">
      <c r="L33" s="79"/>
    </row>
    <row r="34" spans="5:12" x14ac:dyDescent="0.25">
      <c r="L34" s="79"/>
    </row>
    <row r="35" spans="5:12" x14ac:dyDescent="0.25">
      <c r="E35" s="79"/>
      <c r="F35" s="80"/>
    </row>
    <row r="36" spans="5:12" x14ac:dyDescent="0.25">
      <c r="E36" s="79"/>
    </row>
  </sheetData>
  <mergeCells count="29">
    <mergeCell ref="J8:J12"/>
    <mergeCell ref="K8:K11"/>
    <mergeCell ref="L8:L11"/>
    <mergeCell ref="M8:M12"/>
    <mergeCell ref="N8:N12"/>
    <mergeCell ref="R8:R12"/>
    <mergeCell ref="S8:S12"/>
    <mergeCell ref="T8:T12"/>
    <mergeCell ref="K13:K15"/>
    <mergeCell ref="L13:L15"/>
    <mergeCell ref="M13:M15"/>
    <mergeCell ref="N13:N15"/>
    <mergeCell ref="O13:O15"/>
    <mergeCell ref="O8:O12"/>
    <mergeCell ref="O16:O17"/>
    <mergeCell ref="P16:P17"/>
    <mergeCell ref="Q16:Q17"/>
    <mergeCell ref="P8:P12"/>
    <mergeCell ref="Q8:Q12"/>
    <mergeCell ref="J16:J17"/>
    <mergeCell ref="K16:K17"/>
    <mergeCell ref="L16:L17"/>
    <mergeCell ref="M16:M17"/>
    <mergeCell ref="N16:N17"/>
    <mergeCell ref="R16:R17"/>
    <mergeCell ref="S16:S17"/>
    <mergeCell ref="T16:T17"/>
    <mergeCell ref="P13:S15"/>
    <mergeCell ref="T13:T15"/>
  </mergeCells>
  <pageMargins left="0.7" right="0.7" top="0.75" bottom="0.75" header="0.3" footer="0.3"/>
  <pageSetup orientation="portrait" horizontalDpi="4294967293" verticalDpi="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10160-BA59-45CC-88DC-C199C4928BB0}">
  <sheetPr>
    <tabColor rgb="FFFF0000"/>
  </sheetPr>
  <dimension ref="A1:AE8"/>
  <sheetViews>
    <sheetView tabSelected="1" zoomScale="70" zoomScaleNormal="70" workbookViewId="0">
      <selection activeCell="I2" sqref="I2"/>
    </sheetView>
  </sheetViews>
  <sheetFormatPr defaultRowHeight="15" x14ac:dyDescent="0.25"/>
  <cols>
    <col min="1" max="1" width="14.5703125" style="87" customWidth="1"/>
    <col min="2" max="2" width="25.85546875" customWidth="1"/>
    <col min="3" max="3" width="22.5703125" customWidth="1"/>
    <col min="4" max="5" width="8.85546875" bestFit="1" customWidth="1"/>
    <col min="6" max="6" width="23.42578125" customWidth="1"/>
    <col min="8" max="8" width="16.85546875" style="88" customWidth="1"/>
    <col min="26" max="26" width="18.140625" customWidth="1"/>
  </cols>
  <sheetData>
    <row r="1" spans="1:31" x14ac:dyDescent="0.25">
      <c r="A1" s="91"/>
      <c r="B1" s="4"/>
      <c r="C1" s="4"/>
      <c r="D1" s="4"/>
      <c r="E1" s="4"/>
      <c r="F1" s="4"/>
      <c r="G1" s="4"/>
      <c r="Y1" s="4"/>
      <c r="Z1" s="4"/>
      <c r="AA1" s="4"/>
      <c r="AB1" s="4"/>
      <c r="AC1" s="4"/>
      <c r="AD1" s="4"/>
      <c r="AE1" s="4"/>
    </row>
    <row r="2" spans="1:31" s="89" customFormat="1" ht="46.5" x14ac:dyDescent="0.25">
      <c r="A2" s="121" t="s">
        <v>151</v>
      </c>
      <c r="B2" s="121" t="s">
        <v>76</v>
      </c>
      <c r="C2" s="121" t="s">
        <v>77</v>
      </c>
      <c r="D2" s="121"/>
      <c r="E2" s="121" t="s">
        <v>78</v>
      </c>
      <c r="F2" s="121"/>
      <c r="G2" s="121" t="s">
        <v>79</v>
      </c>
      <c r="H2" s="121" t="s">
        <v>152</v>
      </c>
      <c r="Y2" s="116"/>
    </row>
    <row r="3" spans="1:31" ht="179.45" customHeight="1" x14ac:dyDescent="0.25">
      <c r="A3" s="127" t="s">
        <v>80</v>
      </c>
      <c r="B3" s="117">
        <v>6520000</v>
      </c>
      <c r="C3" s="117">
        <v>85726</v>
      </c>
      <c r="D3" s="117">
        <f>C3/B3</f>
        <v>1.3148159509202454E-2</v>
      </c>
      <c r="E3" s="117">
        <f>D3*100</f>
        <v>1.3148159509202455</v>
      </c>
      <c r="F3" s="118" t="s">
        <v>81</v>
      </c>
      <c r="G3" s="117" t="s">
        <v>82</v>
      </c>
      <c r="H3" s="117" t="s">
        <v>91</v>
      </c>
      <c r="Y3" s="92"/>
      <c r="Z3" s="88"/>
      <c r="AA3" s="88"/>
      <c r="AB3" s="88"/>
      <c r="AC3" s="88"/>
      <c r="AD3" s="89"/>
      <c r="AE3" s="88"/>
    </row>
    <row r="4" spans="1:31" ht="263.10000000000002" customHeight="1" x14ac:dyDescent="0.25">
      <c r="A4" s="127" t="s">
        <v>83</v>
      </c>
      <c r="B4" s="117">
        <v>1700000000</v>
      </c>
      <c r="C4" s="117">
        <v>9700000</v>
      </c>
      <c r="D4" s="117">
        <f>C4/B4</f>
        <v>5.7058823529411761E-3</v>
      </c>
      <c r="E4" s="117">
        <f t="shared" ref="E4:E7" si="0">D4*100</f>
        <v>0.57058823529411762</v>
      </c>
      <c r="F4" s="118" t="s">
        <v>84</v>
      </c>
      <c r="G4" s="117" t="s">
        <v>85</v>
      </c>
      <c r="H4" s="119" t="s">
        <v>92</v>
      </c>
      <c r="Y4" s="92"/>
      <c r="Z4" s="88"/>
      <c r="AA4" s="88"/>
      <c r="AB4" s="88"/>
      <c r="AC4" s="88"/>
      <c r="AD4" s="89"/>
      <c r="AE4" s="88"/>
    </row>
    <row r="5" spans="1:31" ht="276.60000000000002" customHeight="1" thickBot="1" x14ac:dyDescent="0.3">
      <c r="A5" s="127" t="s">
        <v>86</v>
      </c>
      <c r="B5" s="122">
        <v>480000000</v>
      </c>
      <c r="C5" s="122">
        <f>4960000-256000</f>
        <v>4704000</v>
      </c>
      <c r="D5" s="117">
        <f>C5/B5</f>
        <v>9.7999999999999997E-3</v>
      </c>
      <c r="E5" s="117">
        <f t="shared" si="0"/>
        <v>0.98</v>
      </c>
      <c r="F5" s="118" t="s">
        <v>87</v>
      </c>
      <c r="G5" s="117" t="s">
        <v>88</v>
      </c>
      <c r="H5" s="118" t="s">
        <v>89</v>
      </c>
    </row>
    <row r="6" spans="1:31" ht="257.45" customHeight="1" thickBot="1" x14ac:dyDescent="0.3">
      <c r="A6" s="129" t="s">
        <v>101</v>
      </c>
      <c r="B6" s="122">
        <f>'Num &amp; costs of fractures'!D8</f>
        <v>13625649</v>
      </c>
      <c r="C6" s="122">
        <f>' Combined IP-OP FLS '!F15</f>
        <v>146720</v>
      </c>
      <c r="D6" s="117">
        <f>C6/B6</f>
        <v>1.0767927457987506E-2</v>
      </c>
      <c r="E6" s="130">
        <f t="shared" si="0"/>
        <v>1.0767927457987505</v>
      </c>
      <c r="F6" s="117"/>
      <c r="G6" s="120"/>
      <c r="H6" s="117"/>
      <c r="Z6" s="131" t="s">
        <v>108</v>
      </c>
    </row>
    <row r="7" spans="1:31" ht="270" customHeight="1" thickBot="1" x14ac:dyDescent="0.3">
      <c r="A7" s="128" t="s">
        <v>102</v>
      </c>
      <c r="B7" s="122">
        <f>'Num &amp; costs of fractures'!D8</f>
        <v>13625649</v>
      </c>
      <c r="C7" s="122">
        <f>'IP-only FLS '!F15</f>
        <v>46416</v>
      </c>
      <c r="D7" s="117">
        <f>C7/B7</f>
        <v>3.4065166363818709E-3</v>
      </c>
      <c r="E7" s="130">
        <f t="shared" si="0"/>
        <v>0.34065166363818711</v>
      </c>
      <c r="F7" s="120"/>
      <c r="G7" s="120"/>
      <c r="H7" s="117"/>
      <c r="Z7" s="131" t="s">
        <v>109</v>
      </c>
    </row>
    <row r="8" spans="1:31" x14ac:dyDescent="0.25">
      <c r="C8" s="123"/>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599D1-F723-4AEF-8CFB-D8A493BB9865}">
  <sheetPr>
    <tabColor rgb="FFC00000"/>
  </sheetPr>
  <dimension ref="A1:B9"/>
  <sheetViews>
    <sheetView zoomScale="80" zoomScaleNormal="80" workbookViewId="0">
      <selection activeCell="C15" sqref="C15"/>
    </sheetView>
  </sheetViews>
  <sheetFormatPr defaultRowHeight="15" x14ac:dyDescent="0.25"/>
  <cols>
    <col min="2" max="2" width="102.85546875" customWidth="1"/>
  </cols>
  <sheetData>
    <row r="1" spans="1:2" ht="23.25" x14ac:dyDescent="0.35">
      <c r="B1" s="58" t="s">
        <v>24</v>
      </c>
    </row>
    <row r="2" spans="1:2" ht="42.75" x14ac:dyDescent="0.25">
      <c r="A2" s="124">
        <v>1</v>
      </c>
      <c r="B2" s="126" t="s">
        <v>96</v>
      </c>
    </row>
    <row r="3" spans="1:2" ht="28.5" x14ac:dyDescent="0.25">
      <c r="A3" s="124">
        <v>2</v>
      </c>
      <c r="B3" s="126" t="s">
        <v>97</v>
      </c>
    </row>
    <row r="4" spans="1:2" ht="28.5" x14ac:dyDescent="0.25">
      <c r="A4" s="124">
        <v>3</v>
      </c>
      <c r="B4" s="126" t="s">
        <v>98</v>
      </c>
    </row>
    <row r="5" spans="1:2" ht="28.5" x14ac:dyDescent="0.25">
      <c r="A5" s="124">
        <v>4</v>
      </c>
      <c r="B5" s="126" t="s">
        <v>99</v>
      </c>
    </row>
    <row r="6" spans="1:2" ht="57" x14ac:dyDescent="0.25">
      <c r="A6" s="124">
        <v>5</v>
      </c>
      <c r="B6" s="126" t="s">
        <v>53</v>
      </c>
    </row>
    <row r="7" spans="1:2" ht="43.5" x14ac:dyDescent="0.25">
      <c r="A7" s="124">
        <v>6</v>
      </c>
      <c r="B7" s="125" t="s">
        <v>95</v>
      </c>
    </row>
    <row r="8" spans="1:2" ht="42.75" x14ac:dyDescent="0.25">
      <c r="A8" s="124">
        <v>7</v>
      </c>
      <c r="B8" s="126" t="s">
        <v>93</v>
      </c>
    </row>
    <row r="9" spans="1:2" ht="28.5" x14ac:dyDescent="0.25">
      <c r="A9" s="124">
        <v>8</v>
      </c>
      <c r="B9" s="126"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Methodology</vt:lpstr>
      <vt:lpstr>Definitions</vt:lpstr>
      <vt:lpstr>Instructions</vt:lpstr>
      <vt:lpstr>Num &amp; costs of fractures</vt:lpstr>
      <vt:lpstr> Combined IP-OP FLS </vt:lpstr>
      <vt:lpstr>IP-only FLS </vt:lpstr>
      <vt:lpstr>Graphs to include</vt:lpstr>
      <vt:lpstr>References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Luanne Schenkels</dc:creator>
  <cp:lastModifiedBy>Diane</cp:lastModifiedBy>
  <dcterms:created xsi:type="dcterms:W3CDTF">2019-07-30T12:24:41Z</dcterms:created>
  <dcterms:modified xsi:type="dcterms:W3CDTF">2023-01-15T22:56:40Z</dcterms:modified>
</cp:coreProperties>
</file>